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O:\Everyone\Cross department Working Documents\US Loans\2022-23\"/>
    </mc:Choice>
  </mc:AlternateContent>
  <bookViews>
    <workbookView xWindow="0" yWindow="0" windowWidth="28800" windowHeight="12300" tabRatio="804" activeTab="2"/>
  </bookViews>
  <sheets>
    <sheet name="Introduction" sheetId="11" r:id="rId1"/>
    <sheet name="Checklist" sheetId="4" r:id="rId2"/>
    <sheet name="Cost of Attendance" sheetId="1" r:id="rId3"/>
    <sheet name="Basis of Costs" sheetId="12" state="hidden" r:id="rId4"/>
    <sheet name="Visa Letter" sheetId="10" state="hidden" r:id="rId5"/>
    <sheet name="Private Loan Letter" sheetId="13" state="hidden" r:id="rId6"/>
    <sheet name="School DATA" sheetId="14" state="hidden" r:id="rId7"/>
  </sheets>
  <definedNames>
    <definedName name="_xlnm._FilterDatabase" localSheetId="2" hidden="1">'Cost of Attendance'!$J$9:$J$10</definedName>
    <definedName name="_xlnm._FilterDatabase" localSheetId="6" hidden="1">'School DATA'!#REF!</definedName>
    <definedName name="_xlnm.Print_Area" localSheetId="2">'Cost of Attendance'!$A$1:$F$94</definedName>
    <definedName name="_xlnm.Print_Area" localSheetId="4">'Visa Letter'!$A$1:$I$63</definedName>
  </definedNames>
  <calcPr calcId="162913"/>
</workbook>
</file>

<file path=xl/calcChain.xml><?xml version="1.0" encoding="utf-8"?>
<calcChain xmlns="http://schemas.openxmlformats.org/spreadsheetml/2006/main">
  <c r="D46" i="1" l="1"/>
  <c r="C47" i="1" l="1"/>
  <c r="C1" i="1" l="1"/>
  <c r="E33" i="1"/>
  <c r="C33" i="1"/>
  <c r="C35" i="1"/>
  <c r="C36" i="1"/>
  <c r="E11" i="14" l="1"/>
  <c r="D8" i="1" s="1"/>
  <c r="M43" i="1"/>
  <c r="M44" i="1"/>
  <c r="M45" i="1"/>
  <c r="I49" i="1"/>
  <c r="I50" i="1"/>
  <c r="I51" i="1"/>
  <c r="I52" i="1"/>
  <c r="L51" i="1"/>
  <c r="M51" i="1"/>
  <c r="G24" i="1"/>
  <c r="G25" i="1"/>
  <c r="G26" i="1"/>
  <c r="L52" i="1"/>
  <c r="M52" i="1"/>
  <c r="H24" i="1"/>
  <c r="I24" i="1"/>
  <c r="H25" i="1"/>
  <c r="I25" i="1"/>
  <c r="H26" i="1"/>
  <c r="I26" i="1"/>
  <c r="L53" i="1"/>
  <c r="M53" i="1"/>
  <c r="A1" i="13"/>
  <c r="A2" i="13"/>
  <c r="A3" i="13"/>
  <c r="A4" i="13"/>
  <c r="A5" i="13"/>
  <c r="A6" i="13"/>
  <c r="A12" i="10"/>
  <c r="B17" i="13"/>
  <c r="B18" i="13"/>
  <c r="B19" i="13"/>
  <c r="J13" i="1"/>
  <c r="J14" i="1"/>
  <c r="B40" i="1"/>
  <c r="B41" i="1"/>
  <c r="B42" i="1"/>
  <c r="B43" i="1"/>
  <c r="B44" i="1"/>
  <c r="B45" i="1"/>
  <c r="J7" i="14"/>
  <c r="M13" i="1"/>
  <c r="A34" i="13" s="1"/>
  <c r="A44" i="13"/>
  <c r="A45" i="13"/>
  <c r="A46" i="13"/>
  <c r="A47" i="13"/>
  <c r="B52" i="13"/>
  <c r="C56" i="14"/>
  <c r="C57" i="14" s="1"/>
  <c r="E7" i="14"/>
  <c r="E24" i="14" s="1"/>
  <c r="D57" i="14"/>
  <c r="C7" i="4"/>
  <c r="C8" i="4"/>
  <c r="C9" i="4"/>
  <c r="C10" i="4"/>
  <c r="C11" i="4"/>
  <c r="C12" i="4"/>
  <c r="C15" i="4"/>
  <c r="A17" i="4"/>
  <c r="C17" i="4"/>
  <c r="A18" i="4"/>
  <c r="C18" i="4"/>
  <c r="C21" i="4"/>
  <c r="A1" i="10"/>
  <c r="A2" i="10"/>
  <c r="A3" i="10"/>
  <c r="A4" i="10"/>
  <c r="A5" i="10"/>
  <c r="A6" i="10"/>
  <c r="B17" i="10"/>
  <c r="B18" i="10"/>
  <c r="B19" i="10"/>
  <c r="M14" i="1"/>
  <c r="M15" i="1"/>
  <c r="A43" i="10" s="1"/>
  <c r="M16" i="1"/>
  <c r="N16" i="1" s="1"/>
  <c r="B44" i="10" s="1"/>
  <c r="J15" i="1"/>
  <c r="A52" i="10"/>
  <c r="A53" i="10"/>
  <c r="A54" i="10"/>
  <c r="A55" i="10"/>
  <c r="B60" i="10"/>
  <c r="I11" i="14"/>
  <c r="M41" i="1" s="1"/>
  <c r="I13" i="14"/>
  <c r="M42" i="1" s="1"/>
  <c r="I16" i="14"/>
  <c r="E18" i="14"/>
  <c r="E22" i="14" s="1"/>
  <c r="E19" i="14"/>
  <c r="I19" i="14"/>
  <c r="M46" i="1" s="1"/>
  <c r="E20" i="14"/>
  <c r="E21" i="14"/>
  <c r="I22" i="14"/>
  <c r="M47" i="1" s="1"/>
  <c r="E23" i="14"/>
  <c r="I25" i="14"/>
  <c r="D41" i="14"/>
  <c r="I42" i="14"/>
  <c r="J42" i="14"/>
  <c r="D9" i="1"/>
  <c r="J41" i="1" s="1"/>
  <c r="J42" i="1" s="1"/>
  <c r="J43" i="1" s="1"/>
  <c r="J44" i="1" s="1"/>
  <c r="J45" i="1" s="1"/>
  <c r="G23" i="1"/>
  <c r="H23" i="1"/>
  <c r="I23" i="1"/>
  <c r="I27" i="1"/>
  <c r="H27" i="1" s="1"/>
  <c r="K27" i="1"/>
  <c r="G27" i="1" s="1"/>
  <c r="L27" i="1"/>
  <c r="M27" i="1"/>
  <c r="B30" i="1"/>
  <c r="C30" i="1"/>
  <c r="B31" i="1"/>
  <c r="E31" i="1"/>
  <c r="E32" i="1"/>
  <c r="I32" i="1"/>
  <c r="B33" i="1"/>
  <c r="I33" i="1"/>
  <c r="A34" i="1"/>
  <c r="E34" i="1"/>
  <c r="I34" i="1"/>
  <c r="A35" i="1"/>
  <c r="I35" i="1"/>
  <c r="I36" i="1"/>
  <c r="C46" i="1"/>
  <c r="C48" i="1"/>
  <c r="C49" i="1"/>
  <c r="C50" i="1"/>
  <c r="C51" i="1"/>
  <c r="C52" i="1"/>
  <c r="C53" i="1"/>
  <c r="C54" i="1"/>
  <c r="C55" i="1"/>
  <c r="C56" i="1"/>
  <c r="C57" i="1"/>
  <c r="C58" i="1"/>
  <c r="K59" i="1"/>
  <c r="D67" i="1"/>
  <c r="J76" i="1"/>
  <c r="C84" i="1" s="1"/>
  <c r="C79" i="1"/>
  <c r="E112" i="1"/>
  <c r="L112" i="1"/>
  <c r="M112" i="1" s="1"/>
  <c r="O112" i="1" s="1"/>
  <c r="E113" i="1"/>
  <c r="N113" i="1"/>
  <c r="O113" i="1"/>
  <c r="L114" i="1"/>
  <c r="M114" i="1" s="1"/>
  <c r="N115" i="1"/>
  <c r="L116" i="1"/>
  <c r="M116" i="1" s="1"/>
  <c r="L117" i="1"/>
  <c r="M117" i="1" s="1"/>
  <c r="L118" i="1"/>
  <c r="M118" i="1" s="1"/>
  <c r="B27" i="13" l="1"/>
  <c r="N51" i="1"/>
  <c r="O51" i="1" s="1"/>
  <c r="B81" i="1" s="1"/>
  <c r="B90" i="1" s="1"/>
  <c r="N52" i="1"/>
  <c r="O52" i="1" s="1"/>
  <c r="B82" i="1" s="1"/>
  <c r="B91" i="1" s="1"/>
  <c r="C92" i="1"/>
  <c r="N53" i="1"/>
  <c r="O53" i="1" s="1"/>
  <c r="B84" i="1" s="1"/>
  <c r="B92" i="1" s="1"/>
  <c r="A117" i="1"/>
  <c r="C91" i="1"/>
  <c r="A115" i="1"/>
  <c r="A118" i="1"/>
  <c r="C117" i="1"/>
  <c r="K41" i="1"/>
  <c r="K42" i="1" s="1"/>
  <c r="A45" i="1"/>
  <c r="C71" i="1" s="1"/>
  <c r="C119" i="1"/>
  <c r="C115" i="1"/>
  <c r="A116" i="1"/>
  <c r="I28" i="1"/>
  <c r="G28" i="1"/>
  <c r="N112" i="1" s="1"/>
  <c r="E57" i="14"/>
  <c r="H44" i="14"/>
  <c r="D6" i="1" s="1"/>
  <c r="G49" i="1" s="1"/>
  <c r="G50" i="1" s="1"/>
  <c r="G51" i="1" s="1"/>
  <c r="G52" i="1" s="1"/>
  <c r="G53" i="1" s="1"/>
  <c r="G54" i="1" s="1"/>
  <c r="H70" i="1"/>
  <c r="I54" i="1"/>
  <c r="D57" i="1" s="1"/>
  <c r="L13" i="1"/>
  <c r="A41" i="10"/>
  <c r="G41" i="1"/>
  <c r="G42" i="1"/>
  <c r="G43" i="1" s="1"/>
  <c r="G44" i="1" s="1"/>
  <c r="G45" i="1" s="1"/>
  <c r="J16" i="1"/>
  <c r="B28" i="13" s="1"/>
  <c r="A44" i="10"/>
  <c r="D56" i="14"/>
  <c r="E56" i="14" s="1"/>
  <c r="E25" i="14"/>
  <c r="B29" i="10"/>
  <c r="G79" i="1"/>
  <c r="J16" i="14"/>
  <c r="C120" i="1"/>
  <c r="C68" i="1"/>
  <c r="A12" i="13"/>
  <c r="A42" i="10"/>
  <c r="C114" i="1"/>
  <c r="C118" i="1"/>
  <c r="B30" i="10" l="1"/>
  <c r="C75" i="1"/>
  <c r="C88" i="1"/>
  <c r="E45" i="1"/>
  <c r="C70" i="1"/>
  <c r="C81" i="1" s="1"/>
  <c r="C90" i="1" s="1"/>
  <c r="C73" i="1"/>
  <c r="K61" i="1"/>
  <c r="H46" i="14"/>
  <c r="H47" i="14" s="1"/>
  <c r="H48" i="14" s="1"/>
  <c r="G32" i="1"/>
  <c r="H32" i="1" s="1"/>
  <c r="H60" i="1" s="1"/>
  <c r="E67" i="1"/>
  <c r="K43" i="1"/>
  <c r="L41" i="1" l="1"/>
  <c r="L42" i="1" s="1"/>
  <c r="G33" i="1"/>
  <c r="G34" i="1" s="1"/>
  <c r="H5" i="1"/>
  <c r="H49" i="14"/>
  <c r="H50" i="14" s="1"/>
  <c r="H6" i="1" s="1"/>
  <c r="K44" i="1"/>
  <c r="D47" i="1"/>
  <c r="I41" i="1" l="1"/>
  <c r="H33" i="1"/>
  <c r="H41" i="1"/>
  <c r="L43" i="1"/>
  <c r="I42" i="1"/>
  <c r="H42" i="1"/>
  <c r="H62" i="1" s="1"/>
  <c r="D49" i="1" s="1"/>
  <c r="G35" i="1"/>
  <c r="H35" i="1" s="1"/>
  <c r="G36" i="1"/>
  <c r="H36" i="1" s="1"/>
  <c r="H34" i="1"/>
  <c r="K45" i="1"/>
  <c r="H61" i="1" l="1"/>
  <c r="D48" i="1" s="1"/>
  <c r="I37" i="1"/>
  <c r="H68" i="1" s="1"/>
  <c r="D55" i="1" s="1"/>
  <c r="I43" i="1"/>
  <c r="L44" i="1"/>
  <c r="H43" i="1"/>
  <c r="H63" i="1" l="1"/>
  <c r="D50" i="1" s="1"/>
  <c r="L45" i="1"/>
  <c r="I44" i="1"/>
  <c r="H44" i="1"/>
  <c r="H64" i="1" l="1"/>
  <c r="D51" i="1" s="1"/>
  <c r="L46" i="1"/>
  <c r="I45" i="1"/>
  <c r="H45" i="1"/>
  <c r="H65" i="1" l="1"/>
  <c r="D52" i="1" s="1"/>
  <c r="L47" i="1"/>
  <c r="K47" i="1" s="1"/>
  <c r="K46" i="1"/>
  <c r="H66" i="1" l="1"/>
  <c r="D53" i="1" s="1"/>
  <c r="H67" i="1" l="1"/>
  <c r="C77" i="1" s="1"/>
  <c r="C78" i="1" l="1"/>
  <c r="D54" i="1"/>
  <c r="H69" i="1"/>
  <c r="H71" i="1" s="1"/>
  <c r="I81" i="1" s="1"/>
  <c r="G78" i="1" l="1"/>
  <c r="C72" i="1" s="1"/>
  <c r="D56" i="1"/>
  <c r="D58" i="1"/>
  <c r="K58" i="1"/>
  <c r="K60" i="1" s="1"/>
  <c r="K62" i="1" l="1"/>
  <c r="N60" i="1" s="1"/>
  <c r="M62" i="1" l="1"/>
  <c r="L64" i="1" s="1"/>
  <c r="E70" i="1"/>
  <c r="G89" i="1"/>
  <c r="H76" i="1"/>
  <c r="L65" i="1"/>
  <c r="D70" i="1" l="1"/>
  <c r="L66" i="1"/>
  <c r="H89" i="1"/>
  <c r="A81" i="1"/>
  <c r="D81" i="1" s="1"/>
  <c r="H77" i="1" l="1"/>
  <c r="N64" i="1"/>
  <c r="G90" i="1"/>
  <c r="K71" i="1"/>
  <c r="E81" i="1"/>
  <c r="F84" i="1"/>
  <c r="B35" i="10"/>
  <c r="H90" i="1" l="1"/>
  <c r="A82" i="1"/>
  <c r="D82" i="1" s="1"/>
  <c r="E71" i="1"/>
  <c r="M66" i="1"/>
  <c r="K69" i="1" s="1"/>
  <c r="D71" i="1"/>
  <c r="K73" i="1" l="1"/>
  <c r="G92" i="1" s="1"/>
  <c r="H79" i="1"/>
  <c r="J81" i="1" s="1"/>
  <c r="H81" i="1" s="1"/>
  <c r="E82" i="1"/>
  <c r="F85" i="1"/>
  <c r="B36" i="10"/>
  <c r="D74" i="1" l="1"/>
  <c r="G81" i="1"/>
  <c r="G91" i="1"/>
  <c r="G93" i="1" s="1"/>
  <c r="A85" i="1" s="1"/>
  <c r="D73" i="1"/>
  <c r="H82" i="1"/>
  <c r="D75" i="1" s="1"/>
  <c r="H92" i="1"/>
  <c r="A84" i="1"/>
  <c r="D84" i="1" s="1"/>
  <c r="D83" i="1" l="1"/>
  <c r="H91" i="1"/>
  <c r="E83" i="1" s="1"/>
  <c r="A83" i="1"/>
  <c r="C74" i="1"/>
  <c r="C83" i="1"/>
  <c r="B37" i="10"/>
  <c r="F86" i="1"/>
  <c r="E84" i="1"/>
  <c r="D85" i="1"/>
  <c r="E85" i="1" l="1"/>
  <c r="E88" i="1" s="1"/>
  <c r="H93" i="1"/>
  <c r="B38" i="10"/>
  <c r="N13" i="1"/>
  <c r="F87" i="1"/>
  <c r="C87" i="1"/>
  <c r="N15" i="1"/>
  <c r="B43" i="10" s="1"/>
  <c r="C86" i="1"/>
  <c r="N14" i="1"/>
  <c r="B42" i="10" s="1"/>
  <c r="B31" i="13" l="1"/>
  <c r="B34" i="13" s="1"/>
  <c r="B38" i="13" s="1"/>
  <c r="B41" i="10"/>
  <c r="B45" i="10" s="1"/>
  <c r="N17" i="1"/>
  <c r="B46" i="10" l="1"/>
</calcChain>
</file>

<file path=xl/sharedStrings.xml><?xml version="1.0" encoding="utf-8"?>
<sst xmlns="http://schemas.openxmlformats.org/spreadsheetml/2006/main" count="562" uniqueCount="483">
  <si>
    <t>Room - Rent</t>
  </si>
  <si>
    <t>Personal</t>
  </si>
  <si>
    <t>Books &amp; Copying</t>
  </si>
  <si>
    <t>Y</t>
  </si>
  <si>
    <t>N</t>
  </si>
  <si>
    <t>Application/Student Number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</si>
  <si>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</si>
  <si>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</si>
  <si>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</si>
  <si>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</si>
  <si>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</si>
  <si>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</si>
  <si>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</si>
  <si>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</si>
  <si>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</si>
  <si>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</si>
  <si>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</si>
  <si>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</si>
  <si>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</si>
  <si>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</si>
  <si>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</si>
  <si>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</si>
  <si>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t>
  </si>
  <si>
    <t>Tuition Fees</t>
  </si>
  <si>
    <t>Room</t>
  </si>
  <si>
    <t>Board</t>
  </si>
  <si>
    <t>Books</t>
  </si>
  <si>
    <t>Travel</t>
  </si>
  <si>
    <t>PG Weeke</t>
  </si>
  <si>
    <t>UG Costs</t>
  </si>
  <si>
    <t>PG Costs</t>
  </si>
  <si>
    <t>Max Loan Available</t>
  </si>
  <si>
    <t>Total Cost of Attendance</t>
  </si>
  <si>
    <t>No of Weeks for Undergraduates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</si>
  <si>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</si>
  <si>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</si>
  <si>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</si>
  <si>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</si>
  <si>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</si>
  <si>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</si>
  <si>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</si>
  <si>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</si>
  <si>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</si>
  <si>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</si>
  <si>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</si>
  <si>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</si>
  <si>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</si>
  <si>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</si>
  <si>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</si>
  <si>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</si>
  <si>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</si>
  <si>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Adjust for Sponsorship, Awards or other Aid</t>
  </si>
  <si>
    <t>OK Statement</t>
  </si>
  <si>
    <t>Qualify 1</t>
  </si>
  <si>
    <t>Qualify 2</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</si>
  <si>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</si>
  <si>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</si>
  <si>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</si>
  <si>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</si>
  <si>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</si>
  <si>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</si>
  <si>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</si>
  <si>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</si>
  <si>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</si>
  <si>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</si>
  <si>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</si>
  <si>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</si>
  <si>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</si>
  <si>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</si>
  <si>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</si>
  <si>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</si>
  <si>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</si>
  <si>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</si>
  <si>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</si>
  <si>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</si>
  <si>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</si>
  <si>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</si>
  <si>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</si>
  <si>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</si>
  <si>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</si>
  <si>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</si>
  <si>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</si>
  <si>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</si>
  <si>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</si>
  <si>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</si>
  <si>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</si>
  <si>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If everything is correct we will originate your loans and issue a certificate for visa application</t>
  </si>
  <si>
    <t>Provide evidence of your needs for any increase to  PLUS to be considered or borrow less in Section 6</t>
  </si>
  <si>
    <t>After Origination Fees You Get</t>
  </si>
  <si>
    <t>School Comments</t>
  </si>
  <si>
    <t>Only Y or N</t>
  </si>
  <si>
    <t>Have you applied for a PLUS Loan</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</si>
  <si>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</si>
  <si>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</si>
  <si>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</si>
  <si>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</si>
  <si>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</si>
  <si>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</si>
  <si>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</si>
  <si>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</si>
  <si>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</si>
  <si>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</si>
  <si>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</si>
  <si>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Undergraduate students and graduate/professional students may receive Direct Subsidized Loans and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</si>
  <si>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</si>
  <si>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</si>
  <si>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</si>
  <si>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</si>
  <si>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</si>
  <si>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</si>
  <si>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</si>
  <si>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</si>
  <si>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</si>
  <si>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</si>
  <si>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</si>
  <si>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</si>
  <si>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123 45 6789</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</si>
  <si>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</si>
  <si>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</si>
  <si>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</si>
  <si>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</si>
  <si>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</si>
  <si>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The default setting is "N"</t>
  </si>
  <si>
    <t>Date Issued</t>
  </si>
  <si>
    <t>if printed on school headed paper</t>
  </si>
  <si>
    <t>and signed across the coat of arms</t>
  </si>
  <si>
    <t>If there are no school comments then we have sufficient information to start the origination process. If anything is missing or incorrect, then we cannot originate your loans.</t>
  </si>
  <si>
    <t>This spreadsheet is to help you and us</t>
  </si>
  <si>
    <t>Max Loans Allowed Adjusted for Fees</t>
  </si>
  <si>
    <t>Max Loan after grossing up for Fees adjustments</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</si>
  <si>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</si>
  <si>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</si>
  <si>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</si>
  <si>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</si>
  <si>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</si>
  <si>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</si>
  <si>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</si>
  <si>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</si>
  <si>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</si>
  <si>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</si>
  <si>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</si>
  <si>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PLUS Loan</t>
  </si>
  <si>
    <t>If anything on the checklist is missing we will not be able to start to process your application</t>
  </si>
  <si>
    <t>How these Costs are Calculated</t>
  </si>
  <si>
    <t>Year Dates</t>
  </si>
  <si>
    <t>Disbursement Dates</t>
  </si>
  <si>
    <t>Interest</t>
  </si>
  <si>
    <t>Rebate</t>
  </si>
  <si>
    <t>Actual</t>
  </si>
  <si>
    <t>Factor</t>
  </si>
  <si>
    <t>Government Fees *** Deducted</t>
  </si>
  <si>
    <t>Final</t>
  </si>
  <si>
    <t>Next review date for Exchange Rate</t>
  </si>
  <si>
    <t>Total Eligible before adjustment for Fees</t>
  </si>
  <si>
    <t>MAXIMUM LOAN LEVELS AVAILABLE</t>
  </si>
  <si>
    <t>CONVERTING FEES AND CONTRIBUTIONS TO DOLLARS</t>
  </si>
  <si>
    <t>CONVERTING WEEKLY COSTS TO DOLLARS</t>
  </si>
  <si>
    <t>PLUS NEED</t>
  </si>
  <si>
    <t>Need for PLUS</t>
  </si>
  <si>
    <t>PLUS Available</t>
  </si>
  <si>
    <t>Sub available</t>
  </si>
  <si>
    <t>ORIG FEE INC</t>
  </si>
  <si>
    <t>Sub Orig Fee</t>
  </si>
  <si>
    <t>Unsub Orig Fee</t>
  </si>
  <si>
    <t>PLUS Orig fee</t>
  </si>
  <si>
    <t>DISBURSEMENTS</t>
  </si>
  <si>
    <t>ORIG FEE NOT INC</t>
  </si>
  <si>
    <t>Government Fees</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</si>
  <si>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</si>
  <si>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</si>
  <si>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</si>
  <si>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</si>
  <si>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</si>
  <si>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</si>
  <si>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</si>
  <si>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</si>
  <si>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</si>
  <si>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</si>
  <si>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</si>
  <si>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</si>
  <si>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</si>
  <si>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</si>
  <si>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</si>
  <si>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</si>
  <si>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</si>
  <si>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</si>
  <si>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</si>
  <si>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</si>
  <si>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</si>
  <si>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</si>
  <si>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</si>
  <si>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</si>
  <si>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</si>
  <si>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</si>
  <si>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</si>
  <si>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</si>
  <si>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</si>
  <si>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</si>
  <si>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</si>
  <si>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</si>
  <si>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</si>
  <si>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</si>
  <si>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</si>
  <si>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</si>
  <si>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</si>
  <si>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</si>
  <si>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</si>
  <si>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</si>
  <si>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</si>
  <si>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</si>
  <si>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</si>
  <si>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</si>
  <si>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</si>
  <si>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</si>
  <si>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</si>
  <si>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</si>
  <si>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</si>
  <si>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</si>
  <si>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</si>
  <si>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</si>
  <si>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</si>
  <si>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</si>
  <si>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</si>
  <si>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SCHOOL INFORMATION</t>
  </si>
  <si>
    <t>MONEY INFORMATION</t>
  </si>
  <si>
    <t>AND/OR</t>
  </si>
  <si>
    <t>official end of summer term - ONLY if earlier</t>
  </si>
  <si>
    <t>You must also complete the Checklist</t>
  </si>
  <si>
    <t>The checklist will tell you the consequence of anything missing</t>
  </si>
  <si>
    <t>If anything is missing or incomplete, your application will be rejected.</t>
  </si>
  <si>
    <t>There are sets of documents which we have to receive before we can even start to certify or complete your loans</t>
  </si>
  <si>
    <t>Worst combination goes to the CoA</t>
  </si>
  <si>
    <t>Worst Fee Rate</t>
  </si>
  <si>
    <t>What are the initials of your staff allowed to sign visa letters USE BLOCK CAPS</t>
  </si>
  <si>
    <t>which come from the US Dept of Education and are administered through this school.</t>
  </si>
  <si>
    <t xml:space="preserve"> the student (or, in some cases, the student’s parent) will receive the following Direct Loan awards</t>
  </si>
  <si>
    <t>When - long after the first disbursement - will you review the exchange rate</t>
  </si>
  <si>
    <t>What is your normal family shopping for a week and adjust for one adult</t>
  </si>
  <si>
    <t>Postgrad weeks</t>
  </si>
  <si>
    <t>Year 1</t>
  </si>
  <si>
    <t>Year 2</t>
  </si>
  <si>
    <t>Year 3</t>
  </si>
  <si>
    <t>Year 4</t>
  </si>
  <si>
    <t>Dependent Unsubsidised</t>
  </si>
  <si>
    <t>Independent Unsubsidised</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</si>
  <si>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</si>
  <si>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</si>
  <si>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</si>
  <si>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</si>
  <si>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</si>
  <si>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</si>
  <si>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Private Loan</t>
  </si>
  <si>
    <t>Government Loan</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</si>
  <si>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</si>
  <si>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</si>
  <si>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</si>
  <si>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</si>
  <si>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</si>
  <si>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</si>
  <si>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</si>
  <si>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</si>
  <si>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</si>
  <si>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Date of Birth</t>
  </si>
  <si>
    <t>If anything on the checklist or spreadsheet is missing or untrue your application will be rejected by the ED Dept's systems</t>
  </si>
  <si>
    <t>School to Complete ONLY the yellow boxes</t>
  </si>
  <si>
    <t>Do not write the name of any bank</t>
  </si>
  <si>
    <t>Visa costs plus cost of midweek return next day flight US New York to LA and rounded</t>
  </si>
  <si>
    <t>Academic Year Calculations</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</si>
  <si>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</si>
  <si>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</si>
  <si>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</si>
  <si>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</si>
  <si>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</si>
  <si>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</si>
  <si>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Given Name (Forename)</t>
  </si>
  <si>
    <t>Maximum Govt. Loan you can borrow</t>
  </si>
  <si>
    <t>3 or above</t>
  </si>
  <si>
    <t>Calculates gross loan to cash</t>
  </si>
  <si>
    <t>Loan values eligible</t>
  </si>
  <si>
    <t>Payment periods - terms</t>
  </si>
  <si>
    <t>Indep Undergrad Score</t>
  </si>
  <si>
    <t>MAXIMUM LOAN LEVELS FOR THIS STU</t>
  </si>
  <si>
    <t>Full name of your course</t>
  </si>
  <si>
    <t>How much has already been awarded by this school as a Scholarship or Financial Aid</t>
  </si>
  <si>
    <t>Independent Undergraduates are not eligible for a PLUS Loan</t>
  </si>
  <si>
    <t>You could have borrowed these Govt. Loans</t>
  </si>
  <si>
    <t>Calculating fields for late starters - do not adjust these fields</t>
  </si>
  <si>
    <t>weeks</t>
  </si>
  <si>
    <t>PG</t>
  </si>
  <si>
    <t>UG</t>
  </si>
  <si>
    <t>Rounding Difference</t>
  </si>
  <si>
    <t>Undergraduate treated as Graduate PLUS Loan</t>
  </si>
  <si>
    <t>sub entitled, conditions are per cell</t>
  </si>
  <si>
    <t>inc BA, UG/PG, porev degree,yr</t>
  </si>
  <si>
    <t>but not dependency</t>
  </si>
  <si>
    <t>tot below is max</t>
  </si>
  <si>
    <t>MAX THIS STU</t>
  </si>
  <si>
    <t>midweek return flight for visa interview Los Angeles to New York</t>
  </si>
  <si>
    <t>2 midweek return flights with BA from Los Angeles to London</t>
  </si>
  <si>
    <t>Cost of two BA return flights Heathrow/LA  travelling midweek</t>
  </si>
  <si>
    <t>Cost of a good quality laptop from a PC chainstore</t>
  </si>
  <si>
    <t>201700000</t>
  </si>
  <si>
    <t>Max Allowed Adjusted for Fees</t>
  </si>
  <si>
    <t>The exchange rate is deliberately high to allow for unforseen circumstances</t>
  </si>
  <si>
    <t>Worst case costs at selected or calculated exchange rate</t>
  </si>
  <si>
    <t>Calcs above/beside</t>
  </si>
  <si>
    <t>What will be your year of study - select from the dropbox only - WARNING: this must match your FAFSA &amp; SAR</t>
  </si>
  <si>
    <t>DON'T TOUCH THE BLUE BOXES - They are calculations which feed other parts of this workbook</t>
  </si>
  <si>
    <t>Your Loan Entitlement</t>
  </si>
  <si>
    <t>Your Cost of Attendance (Values rounded)</t>
  </si>
  <si>
    <t>Information which affects your Cost of Attendance</t>
  </si>
  <si>
    <t>Items which can affect your loan entitlement</t>
  </si>
  <si>
    <t>Have you borrowed more than 4 years of undergraduate federal loans (Yes/No)</t>
  </si>
  <si>
    <t>Have you borrowed more than 4 years of postgraduate federal loans (Yes/No)</t>
  </si>
  <si>
    <t>This section must checked</t>
  </si>
  <si>
    <t>by the school and might be</t>
  </si>
  <si>
    <t xml:space="preserve">completed for you </t>
  </si>
  <si>
    <t xml:space="preserve"> U.S. Government Fees deducted from your disbursement</t>
  </si>
  <si>
    <t>blue below</t>
  </si>
  <si>
    <t>Stu Type</t>
  </si>
  <si>
    <t>weekly</t>
  </si>
  <si>
    <t>deducts</t>
  </si>
  <si>
    <t>direct convert</t>
  </si>
  <si>
    <t>room</t>
  </si>
  <si>
    <t>board</t>
  </si>
  <si>
    <t>annual flights</t>
  </si>
  <si>
    <t>1st yr costs</t>
  </si>
  <si>
    <t>essential course equipment</t>
  </si>
  <si>
    <t>essential health</t>
  </si>
  <si>
    <t>essential childcare</t>
  </si>
  <si>
    <t>other essentials</t>
  </si>
  <si>
    <t>Ist Year</t>
  </si>
  <si>
    <t>School Notes</t>
  </si>
  <si>
    <t>School: if SAR near to Agg then change to Y and enter Agg Values</t>
  </si>
  <si>
    <t>Request</t>
  </si>
  <si>
    <t>Requests</t>
  </si>
  <si>
    <t>Allow</t>
  </si>
  <si>
    <t>Use drop boxes below</t>
  </si>
  <si>
    <t>Approved Additional Items</t>
  </si>
  <si>
    <t>Final CoA including approved Additional Items</t>
  </si>
  <si>
    <t>Aggregate Loan Limits</t>
  </si>
  <si>
    <t>Limit</t>
  </si>
  <si>
    <t>Sub Limit</t>
  </si>
  <si>
    <t>UG Dependent - all assumed</t>
  </si>
  <si>
    <t>UG Independent</t>
  </si>
  <si>
    <t>CONVERTING COSTS TO DOLLARS</t>
  </si>
  <si>
    <t>Course essentials like required clothing</t>
  </si>
  <si>
    <t>Health related costs such as insuline/physiotherapy</t>
  </si>
  <si>
    <t>Other health related  -  transposrt if mobility impaired, or scribing</t>
  </si>
  <si>
    <t>Child care for dependent children</t>
  </si>
  <si>
    <t>Total extras approved</t>
  </si>
  <si>
    <t>Calculating Aggregate Effect</t>
  </si>
  <si>
    <t>Max allowed</t>
  </si>
  <si>
    <t>agg used</t>
  </si>
  <si>
    <t>available</t>
  </si>
  <si>
    <t>annual</t>
  </si>
  <si>
    <t>PG Sub</t>
  </si>
  <si>
    <t>PG Tot</t>
  </si>
  <si>
    <t>allowed now</t>
  </si>
  <si>
    <t>UG course as PG</t>
  </si>
  <si>
    <t>UG Sub</t>
  </si>
  <si>
    <t>UG Dep Unsub</t>
  </si>
  <si>
    <t>UG Ind Unsub</t>
  </si>
  <si>
    <t>UG Dep Tot</t>
  </si>
  <si>
    <t>UG Ind Tot</t>
  </si>
  <si>
    <t>Supp.</t>
  </si>
  <si>
    <t>THE SECTION BELOW IS UNDER DEVELOPMENT</t>
  </si>
  <si>
    <t>IT HAS NO EFFECT ON THE MAIN SPREADSHEET</t>
  </si>
  <si>
    <t>full sallie mae</t>
  </si>
  <si>
    <t>mixed sallie mae</t>
  </si>
  <si>
    <t>Essential flights + health for all years (plus visa and laptop if 1st year)</t>
  </si>
  <si>
    <t>private</t>
  </si>
  <si>
    <t>sub</t>
  </si>
  <si>
    <t>plus</t>
  </si>
  <si>
    <t>total</t>
  </si>
  <si>
    <t>zero if only private requested</t>
  </si>
  <si>
    <t>Unsub</t>
  </si>
  <si>
    <t>Privacy of student records</t>
  </si>
  <si>
    <t xml:space="preserve">How we use your data: The Guildhall School is a department of the City of London Corporation (“the City of London”) and the City of London is the data controller. The City of London’s privacy notice which explains how the City uses your data can be found at https://www.cityoflondon.gov.uk/privacy </t>
  </si>
  <si>
    <t>Where there are activities unique to the Guildhall School these are covered in more detail by the School’s Privacy Notice and by the privacy notice specific to Higher Education found at https://www.gsmd.ac.uk/privacy</t>
  </si>
  <si>
    <t>For the purposes of administering the US loans your data will be shared with the US Education Department, and their agents and contractors (as authorised in the Master Promissory Note) in accordance with the School's overarching and HE privacy notice which can be found at https://www.gsmd.ac.uk/privacy</t>
  </si>
  <si>
    <r>
      <t xml:space="preserve">What is the date of your last Bachelors' graduation ceremony </t>
    </r>
    <r>
      <rPr>
        <b/>
        <u/>
        <sz val="10"/>
        <color indexed="10"/>
        <rFont val="Arial"/>
        <family val="2"/>
      </rPr>
      <t>in the summer</t>
    </r>
    <r>
      <rPr>
        <sz val="10"/>
        <color indexed="10"/>
        <rFont val="Arial"/>
        <family val="2"/>
      </rPr>
      <t xml:space="preserve"> </t>
    </r>
  </si>
  <si>
    <r>
      <t>We participate in the William D. Ford Federal Direct Loan (Direct Loan) Program administered by the United States (U.S.) Department of Education</t>
    </r>
    <r>
      <rPr>
        <i/>
        <sz val="12"/>
        <rFont val="Arial"/>
        <family val="2"/>
      </rPr>
      <t>.</t>
    </r>
    <r>
      <rPr>
        <sz val="12"/>
        <rFont val="Arial"/>
        <family val="2"/>
      </rPr>
      <t xml:space="preserve"> </t>
    </r>
  </si>
  <si>
    <t>AA</t>
  </si>
  <si>
    <t>DAG</t>
  </si>
  <si>
    <t>2022/23</t>
  </si>
  <si>
    <t>Origination fee announcements - https://fsapartners.ed.gov/knowledge-center/library/resource-type/Electronic%20Announcements</t>
  </si>
  <si>
    <t>Check studentaid.gov to see how much students can borrow.</t>
  </si>
  <si>
    <t>Confirm details are correct</t>
  </si>
  <si>
    <t>Make sure you are looking at the right year</t>
  </si>
  <si>
    <t>PG*</t>
  </si>
  <si>
    <t>*The graduate aggregate limit includes all federal loans received for undergraduate study</t>
  </si>
  <si>
    <t>Calculates max allowed before proof of costs needed</t>
  </si>
  <si>
    <t>London</t>
  </si>
  <si>
    <t xml:space="preserve">These dates are set to minimise the risk of your loan being rejected by overlapping a previous year.
Undergraduates - The loan year will be start of academic year to end of final term
Postgraduates - The loan year will be 365 days
</t>
  </si>
  <si>
    <t>Cost of zone 1-2 London weekly travel card</t>
  </si>
  <si>
    <t>Have you entered your SSN on the Cost of Attendance</t>
  </si>
  <si>
    <t>Family name (Surname)</t>
  </si>
  <si>
    <t>v.202205</t>
  </si>
  <si>
    <t>$ (USD)</t>
  </si>
  <si>
    <t>SECTION 1</t>
  </si>
  <si>
    <t>SECTION 2</t>
  </si>
  <si>
    <t>Are you seeking only Private Loans (Sallie Mae)?</t>
  </si>
  <si>
    <t>Does your course - whole course, in any year - have any time in USA other than vacations?</t>
  </si>
  <si>
    <t xml:space="preserve">Does your course involve any time at another university or school, or campus? </t>
  </si>
  <si>
    <r>
      <t xml:space="preserve">Total Extra Requests </t>
    </r>
    <r>
      <rPr>
        <b/>
        <sz val="12"/>
        <color indexed="12"/>
        <rFont val="Arial"/>
        <family val="2"/>
      </rPr>
      <t>and those allowed converted into dollars</t>
    </r>
  </si>
  <si>
    <t>Is this course for a Bachelor degree such as BSc or BA?</t>
  </si>
  <si>
    <t>Avg highest Tuition Fee charged in London for Masters Degree</t>
  </si>
  <si>
    <t>Powerful laptop and printer [15.6" ASUS VivoBook X515JA 1TB Core i7 - Currys May 2022]</t>
  </si>
  <si>
    <t>What is your estimate for enough pocket money including a night out/fun activities per week</t>
  </si>
  <si>
    <t>Visa £363 and NHS Charge £470</t>
  </si>
  <si>
    <t>This covers all the bills for a month for a normal household including alcohol, all household cleaning materials and all food etc.This is more than enough to cover the food, provisions and utilities for a single person.</t>
  </si>
  <si>
    <t>Board - Food and Utilities</t>
  </si>
  <si>
    <t>Unsubsidized</t>
  </si>
  <si>
    <t>Subsidized - Adjusted by EFC</t>
  </si>
  <si>
    <t>Essential flights + Health (for 1st Yr including Visa and Laptop)</t>
  </si>
  <si>
    <t>There is no subsidized loan for postgraduates</t>
  </si>
  <si>
    <t>SECTION 3</t>
  </si>
  <si>
    <t>SECTION 4</t>
  </si>
  <si>
    <t>SECTION 5</t>
  </si>
  <si>
    <t>SECTION 6</t>
  </si>
  <si>
    <t>SECTION 7</t>
  </si>
  <si>
    <t>SECTION 8</t>
  </si>
  <si>
    <t>It will not be the school's decision to reject your application or to process your loan with things missing</t>
  </si>
  <si>
    <t>It is used to help you and the school in several ways:</t>
  </si>
  <si>
    <t>Rate from 1st Oct 2020 - 1st Oct 2022</t>
  </si>
  <si>
    <t>What is your EFC (top right of front page of SAR) Even zero must be entered</t>
  </si>
  <si>
    <t>Other health related costs - such as transport if mobility impaired, or scribing - write it here and be specific</t>
  </si>
  <si>
    <t>When you were an undergraduate were you classed as Dependent or Independent - answer D or I</t>
  </si>
  <si>
    <t>Information sent by the US Department of Education to schools also includes all those who may not apply or enroll.</t>
  </si>
  <si>
    <t>You must complete and send us the spreadsheet "Cost of Attendance"</t>
  </si>
  <si>
    <t>1. You tell us what we need to know about you before we can start to process your application (Section 1)</t>
  </si>
  <si>
    <t>2. You can re-calculate your costs (Sections 2 &amp; 3) and if needed you can change our values shown in blue</t>
  </si>
  <si>
    <t>To make the process as speedy and as simple as possible</t>
  </si>
  <si>
    <t>To cut out the risk of your application being rejected and you having to start again</t>
  </si>
  <si>
    <t>4. It tells you whether the school will accept the costs you have proposed (Section 5)</t>
  </si>
  <si>
    <t xml:space="preserve"> </t>
  </si>
  <si>
    <t>Course essentials like required clothing (drama courses) or instruments</t>
  </si>
  <si>
    <t>Write any extra essential requirements that have not been included</t>
  </si>
  <si>
    <t>Write SHORT notes in this box to justify your extra requests</t>
  </si>
  <si>
    <t>No of Weeks for Postgraduates</t>
  </si>
  <si>
    <t>botany</t>
  </si>
  <si>
    <t>Worst possible Exchange rate - USD - best guess</t>
  </si>
  <si>
    <t>PLUS if extras allowed</t>
  </si>
  <si>
    <t>Note - No PLUS loan for Independent Undergraduates</t>
  </si>
  <si>
    <t>Student Application Details</t>
  </si>
  <si>
    <t>What does your SAR say for "dependancy status"? Choose either I for Indepedent or D for Dependent</t>
  </si>
  <si>
    <t>Are you seeking only Federal (Subsidized / Unsubsidised / PLUS) Loans?</t>
  </si>
  <si>
    <t>Are you seeking a mix of Federal and Private Loans (Sallie Mae)?</t>
  </si>
  <si>
    <t>Line 1</t>
  </si>
  <si>
    <t>Line 2</t>
  </si>
  <si>
    <t>Line 3</t>
  </si>
  <si>
    <t>Line 4</t>
  </si>
  <si>
    <t>Email address</t>
  </si>
  <si>
    <t>MA Music Therapy</t>
  </si>
  <si>
    <t>Additional items you may require</t>
  </si>
  <si>
    <t>Use dropboxes below</t>
  </si>
  <si>
    <t>Health related costs such as insulin/physiotherapy - write it here and be specific</t>
  </si>
  <si>
    <t>Child care for dependent children while the student/parent is in class</t>
  </si>
  <si>
    <t>After Origination Fees you will receive:</t>
  </si>
  <si>
    <t>Total (after rounding, may be slightly higher than total of section 5)</t>
  </si>
  <si>
    <t>School comment on proposed costs &amp; eligible loans</t>
  </si>
  <si>
    <t>SECTION 9</t>
  </si>
  <si>
    <r>
      <t xml:space="preserve">The checklist helps you ensure that everything needed has been completed for us to process your application; </t>
    </r>
    <r>
      <rPr>
        <b/>
        <u/>
        <sz val="11"/>
        <color rgb="FFC00000"/>
        <rFont val="Arial"/>
        <family val="2"/>
      </rPr>
      <t>without it nothing can be processed</t>
    </r>
  </si>
  <si>
    <t>3. The cost of attendance calculates how much you need and are eligible to borrow (Section 4)</t>
  </si>
  <si>
    <t>7. You tell us how much you want to borrow (Section 7). You adjust the figures shown in blue</t>
  </si>
  <si>
    <t>Have you attached your Direct Loans MPN</t>
  </si>
  <si>
    <t>Have you correctly entered your email address on the Cost of Attendance</t>
  </si>
  <si>
    <t>Have you entered your name and full address on the Cost of Attendance</t>
  </si>
  <si>
    <t>Have you entered the EFC from your SAR on the Cost of Attendance</t>
  </si>
  <si>
    <t>Have you entered your tuition fees on the Cost of Attendance</t>
  </si>
  <si>
    <t>Have you entered on the Cost of Attendance how much you wish to borrow (Section 7)</t>
  </si>
  <si>
    <t>COMPLETE SECTIONS 1, 2, 4 AND 7 ONLY</t>
  </si>
  <si>
    <t>Your Request - you may only leave or reduce these values</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</si>
  <si>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t>
  </si>
  <si>
    <t>The prices of all halls of residence in the local area are check and the highest below self-contained suite is selected. Then a comparison of average price of a room in a shared flat and for a studio flat in the local area is made.</t>
  </si>
  <si>
    <t>The average "pocket money" for the week including a night out/fun activities per week</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</si>
  <si>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 Department of Education. This ensures that the cash you receive, after foreign exchange and deduction of origination fees, is the sterling cost of attendance.</t>
  </si>
  <si>
    <t>Your government takes an origination fee. 
There was a partial refund of the origination fee which has been withdrawn since 2012 entry.
If those repayments are not all on-time then the refund which was given to you will be charged back to you</t>
  </si>
  <si>
    <r>
      <t xml:space="preserve">The transfer of funds from ED Dept to our UK bank and a refund for your living money takes </t>
    </r>
    <r>
      <rPr>
        <b/>
        <sz val="11"/>
        <rFont val="Arial"/>
        <family val="2"/>
      </rPr>
      <t xml:space="preserve">approximately 10 days. </t>
    </r>
    <r>
      <rPr>
        <sz val="11"/>
        <rFont val="Arial"/>
        <family val="2"/>
      </rPr>
      <t xml:space="preserve">PLEASE NOTE - THESE DISBURSEMENT DATES ARE </t>
    </r>
    <r>
      <rPr>
        <u/>
        <sz val="11"/>
        <rFont val="Arial"/>
        <family val="2"/>
      </rPr>
      <t>EXPECTED</t>
    </r>
    <r>
      <rPr>
        <sz val="11"/>
        <rFont val="Arial"/>
        <family val="2"/>
      </rPr>
      <t xml:space="preserve"> AND NOT ACTUAL. Allow for about 3 days delay - just in case.</t>
    </r>
  </si>
  <si>
    <r>
      <rPr>
        <b/>
        <sz val="11"/>
        <rFont val="Arial"/>
        <family val="2"/>
      </rPr>
      <t>When we will receive this spreadsheet -</t>
    </r>
    <r>
      <rPr>
        <b/>
        <sz val="11"/>
        <color rgb="FFC00000"/>
        <rFont val="Arial"/>
        <family val="2"/>
      </rPr>
      <t xml:space="preserve"> </t>
    </r>
    <r>
      <rPr>
        <b/>
        <u/>
        <sz val="11"/>
        <color rgb="FFC00000"/>
        <rFont val="Arial"/>
        <family val="2"/>
      </rPr>
      <t>and ALL the required attachments</t>
    </r>
    <r>
      <rPr>
        <b/>
        <sz val="11"/>
        <color indexed="12"/>
        <rFont val="Arial"/>
        <family val="2"/>
      </rPr>
      <t xml:space="preserve"> - </t>
    </r>
    <r>
      <rPr>
        <b/>
        <sz val="11"/>
        <rFont val="Arial"/>
        <family val="2"/>
      </rPr>
      <t>that is our trigger that you have done everything for us to start on your loan</t>
    </r>
  </si>
  <si>
    <t>£ (GBP)</t>
  </si>
  <si>
    <t>Use dropbox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</si>
</sst>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s>
  <fonts count="80"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0"/>
      <color indexed="12"/>
      <name val="Arial"/>
      <family val="2"/>
    </font>
    <font>
      <sz val="12"/>
      <name val="Arial"/>
      <family val="2"/>
    </font>
    <font>
      <b/>
      <sz val="12"/>
      <color indexed="9"/>
      <name val="Arial"/>
      <family val="2"/>
    </font>
    <font>
      <b/>
      <sz val="12"/>
      <name val="Arial"/>
      <family val="2"/>
    </font>
    <font>
      <b/>
      <sz val="12"/>
      <color indexed="12"/>
      <name val="Arial"/>
      <family val="2"/>
    </font>
    <font>
      <sz val="10"/>
      <name val="Arial"/>
      <family val="2"/>
    </font>
    <font>
      <b/>
      <sz val="14"/>
      <name val="Arial"/>
      <family val="2"/>
    </font>
    <font>
      <u/>
      <sz val="7.5"/>
      <color indexed="12"/>
      <name val="Arial"/>
      <family val="2"/>
    </font>
    <font>
      <b/>
      <sz val="12"/>
      <color indexed="10"/>
      <name val="Arial"/>
      <family val="2"/>
    </font>
    <font>
      <sz val="12"/>
      <color indexed="12"/>
      <name val="Arial"/>
      <family val="2"/>
    </font>
    <font>
      <b/>
      <sz val="10"/>
      <color indexed="48"/>
      <name val="Arial"/>
      <family val="2"/>
    </font>
    <font>
      <b/>
      <sz val="12"/>
      <color indexed="13"/>
      <name val="Arial"/>
      <family val="2"/>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u/>
      <sz val="12"/>
      <color indexed="10"/>
      <name val="Arial"/>
      <family val="2"/>
    </font>
    <font>
      <sz val="10"/>
      <color indexed="10"/>
      <name val="Arial"/>
      <family val="2"/>
    </font>
    <font>
      <b/>
      <sz val="16"/>
      <color indexed="10"/>
      <name val="Arial"/>
      <family val="2"/>
    </font>
    <font>
      <b/>
      <i/>
      <sz val="16"/>
      <color indexed="10"/>
      <name val="Arial"/>
      <family val="2"/>
    </font>
    <font>
      <b/>
      <sz val="10"/>
      <color indexed="10"/>
      <name val="Arial"/>
      <family val="2"/>
    </font>
    <font>
      <b/>
      <i/>
      <sz val="8"/>
      <color indexed="10"/>
      <name val="Arial"/>
      <family val="2"/>
    </font>
    <font>
      <b/>
      <sz val="8"/>
      <color indexed="10"/>
      <name val="Arial"/>
      <family val="2"/>
    </font>
    <font>
      <b/>
      <u/>
      <sz val="10"/>
      <color indexed="10"/>
      <name val="Arial"/>
      <family val="2"/>
    </font>
    <font>
      <sz val="10"/>
      <color indexed="10"/>
      <name val="Arial"/>
      <family val="2"/>
    </font>
    <font>
      <b/>
      <sz val="12"/>
      <color indexed="10"/>
      <name val="Arial"/>
      <family val="2"/>
    </font>
    <font>
      <b/>
      <u/>
      <sz val="12"/>
      <color indexed="10"/>
      <name val="Arial"/>
      <family val="2"/>
    </font>
    <font>
      <sz val="12"/>
      <color indexed="10"/>
      <name val="Arial"/>
      <family val="2"/>
    </font>
    <font>
      <b/>
      <sz val="14"/>
      <color indexed="10"/>
      <name val="Arial"/>
      <family val="2"/>
    </font>
    <font>
      <b/>
      <sz val="12"/>
      <color indexed="51"/>
      <name val="Arial"/>
      <family val="2"/>
    </font>
    <font>
      <sz val="12"/>
      <color indexed="13"/>
      <name val="Arial"/>
      <family val="2"/>
    </font>
    <font>
      <sz val="12"/>
      <color indexed="62"/>
      <name val="Arial"/>
      <family val="2"/>
    </font>
    <font>
      <b/>
      <sz val="10"/>
      <color indexed="12"/>
      <name val="Arial"/>
      <family val="2"/>
    </font>
    <font>
      <sz val="12"/>
      <color indexed="48"/>
      <name val="Arial"/>
      <family val="2"/>
    </font>
    <font>
      <sz val="10"/>
      <color indexed="10"/>
      <name val="Arial"/>
      <family val="2"/>
    </font>
    <font>
      <b/>
      <sz val="16"/>
      <color indexed="13"/>
      <name val="Arial"/>
      <family val="2"/>
    </font>
    <font>
      <sz val="16"/>
      <name val="Arial"/>
      <family val="2"/>
    </font>
    <font>
      <b/>
      <u/>
      <sz val="10"/>
      <color indexed="13"/>
      <name val="Arial"/>
      <family val="2"/>
    </font>
    <font>
      <sz val="10"/>
      <color indexed="13"/>
      <name val="Arial"/>
      <family val="2"/>
    </font>
    <font>
      <sz val="10"/>
      <color indexed="9"/>
      <name val="Arial"/>
      <family val="2"/>
    </font>
    <font>
      <b/>
      <sz val="10"/>
      <color indexed="9"/>
      <name val="Arial"/>
      <family val="2"/>
    </font>
    <font>
      <sz val="10"/>
      <color indexed="48"/>
      <name val="Arial"/>
      <family val="2"/>
    </font>
    <font>
      <b/>
      <sz val="18"/>
      <name val="Arial"/>
      <family val="2"/>
    </font>
    <font>
      <sz val="14"/>
      <name val="Arial"/>
      <family val="2"/>
    </font>
    <font>
      <sz val="12"/>
      <name val="Arial"/>
      <family val="2"/>
    </font>
    <font>
      <i/>
      <sz val="12"/>
      <name val="Arial"/>
      <family val="2"/>
    </font>
    <font>
      <b/>
      <sz val="10"/>
      <color theme="4"/>
      <name val="Arial"/>
      <family val="2"/>
    </font>
    <font>
      <sz val="10"/>
      <color theme="4" tint="-0.499984740745262"/>
      <name val="Arial"/>
      <family val="2"/>
    </font>
    <font>
      <b/>
      <sz val="11"/>
      <color indexed="10"/>
      <name val="Arial"/>
      <family val="2"/>
    </font>
    <font>
      <sz val="11"/>
      <name val="Arial"/>
      <family val="2"/>
    </font>
    <font>
      <b/>
      <sz val="11"/>
      <name val="Arial"/>
      <family val="2"/>
    </font>
    <font>
      <b/>
      <sz val="12"/>
      <color indexed="15"/>
      <name val="Arial"/>
      <family val="2"/>
    </font>
    <font>
      <b/>
      <sz val="12"/>
      <color rgb="FFFF6699"/>
      <name val="Arial"/>
      <family val="2"/>
    </font>
    <font>
      <b/>
      <sz val="12"/>
      <color rgb="FF00B050"/>
      <name val="Arial"/>
      <family val="2"/>
    </font>
    <font>
      <b/>
      <sz val="12"/>
      <color indexed="23"/>
      <name val="Arial"/>
      <family val="2"/>
    </font>
    <font>
      <b/>
      <sz val="12"/>
      <color indexed="48"/>
      <name val="Arial"/>
      <family val="2"/>
    </font>
    <font>
      <b/>
      <u/>
      <sz val="12"/>
      <color indexed="12"/>
      <name val="Arial"/>
      <family val="2"/>
    </font>
    <font>
      <b/>
      <sz val="12"/>
      <color indexed="62"/>
      <name val="Arial"/>
      <family val="2"/>
    </font>
    <font>
      <b/>
      <sz val="11"/>
      <color indexed="12"/>
      <name val="Arial"/>
      <family val="2"/>
    </font>
    <font>
      <sz val="11"/>
      <color indexed="10"/>
      <name val="Arial"/>
      <family val="2"/>
    </font>
    <font>
      <b/>
      <sz val="12"/>
      <color theme="0"/>
      <name val="Arial"/>
      <family val="2"/>
    </font>
    <font>
      <sz val="12"/>
      <color theme="0"/>
      <name val="Arial"/>
      <family val="2"/>
    </font>
    <font>
      <b/>
      <sz val="12"/>
      <color rgb="FFC00000"/>
      <name val="Arial"/>
      <family val="2"/>
    </font>
    <font>
      <sz val="12"/>
      <color rgb="FFC00000"/>
      <name val="Arial"/>
      <family val="2"/>
    </font>
    <font>
      <b/>
      <sz val="14"/>
      <color indexed="12"/>
      <name val="Arial"/>
      <family val="2"/>
    </font>
    <font>
      <b/>
      <sz val="11"/>
      <color rgb="FFC00000"/>
      <name val="Arial"/>
      <family val="2"/>
    </font>
    <font>
      <b/>
      <u/>
      <sz val="11"/>
      <color rgb="FFC00000"/>
      <name val="Arial"/>
      <family val="2"/>
    </font>
    <font>
      <b/>
      <sz val="9"/>
      <name val="Arial"/>
      <family val="2"/>
    </font>
    <font>
      <b/>
      <sz val="12"/>
      <color theme="9"/>
      <name val="Arial"/>
      <family val="2"/>
    </font>
    <font>
      <b/>
      <sz val="10"/>
      <color rgb="FFC00000"/>
      <name val="Arial"/>
      <family val="2"/>
    </font>
    <font>
      <u/>
      <sz val="11"/>
      <name val="Arial"/>
      <family val="2"/>
    </font>
    <font>
      <b/>
      <sz val="12"/>
      <color theme="0" tint="-0.499984740745262"/>
      <name val="Arial"/>
      <family val="2"/>
    </font>
  </fonts>
  <fills count="15">
    <fill>
      <patternFill patternType="none"/>
    </fill>
    <fill>
      <patternFill patternType="gray125"/>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BEBFF"/>
        <bgColor indexed="64"/>
      </patternFill>
    </fill>
  </fills>
  <borders count="15">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448">
    <xf numFmtId="0" fontId="0" fillId="0" borderId="0" xfId="0"/>
    <xf numFmtId="0" fontId="0" fillId="0" borderId="0" xfId="0" applyAlignment="1" applyProtection="1">
      <alignment horizontal="center"/>
    </xf>
    <xf numFmtId="0" fontId="0" fillId="0" borderId="0" xfId="0" applyProtection="1"/>
    <xf numFmtId="1" fontId="0" fillId="0" borderId="0" xfId="0" applyNumberFormat="1" applyAlignment="1" applyProtection="1">
      <alignment horizontal="center"/>
    </xf>
    <xf numFmtId="0" fontId="2" fillId="0" borderId="0" xfId="0" applyFont="1" applyAlignment="1" applyProtection="1">
      <alignment horizontal="center"/>
      <protection hidden="1"/>
    </xf>
    <xf numFmtId="0" fontId="9" fillId="0" borderId="4" xfId="0" applyFont="1" applyBorder="1" applyAlignment="1" applyProtection="1">
      <alignment horizontal="center"/>
      <protection hidden="1"/>
    </xf>
    <xf numFmtId="170" fontId="9" fillId="0" borderId="4"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167" fontId="9" fillId="0" borderId="4" xfId="0" applyNumberFormat="1" applyFont="1" applyBorder="1" applyAlignment="1" applyProtection="1">
      <alignment horizontal="center"/>
      <protection hidden="1"/>
    </xf>
    <xf numFmtId="0" fontId="9" fillId="0" borderId="5" xfId="0" applyFont="1" applyBorder="1" applyAlignment="1" applyProtection="1">
      <alignment horizontal="center"/>
      <protection hidden="1"/>
    </xf>
    <xf numFmtId="49" fontId="2" fillId="0" borderId="0" xfId="0" applyNumberFormat="1" applyFont="1" applyAlignment="1" applyProtection="1">
      <alignment horizontal="center"/>
      <protection hidden="1"/>
    </xf>
    <xf numFmtId="49" fontId="9" fillId="0" borderId="0" xfId="0" applyNumberFormat="1" applyFont="1" applyAlignment="1" applyProtection="1">
      <alignment horizontal="center"/>
      <protection hidden="1"/>
    </xf>
    <xf numFmtId="0" fontId="2" fillId="0" borderId="0" xfId="0" applyFont="1" applyProtection="1"/>
    <xf numFmtId="43" fontId="11" fillId="0" borderId="0" xfId="1" applyFont="1" applyBorder="1" applyAlignment="1" applyProtection="1">
      <alignment horizontal="right"/>
    </xf>
    <xf numFmtId="0" fontId="14" fillId="0" borderId="0" xfId="0" applyFont="1" applyProtection="1"/>
    <xf numFmtId="0" fontId="3" fillId="0" borderId="0" xfId="0" applyFont="1" applyProtection="1"/>
    <xf numFmtId="0" fontId="9" fillId="0" borderId="0" xfId="0" applyFont="1" applyAlignment="1" applyProtection="1">
      <alignment horizontal="center"/>
    </xf>
    <xf numFmtId="43" fontId="6" fillId="2" borderId="0" xfId="1" applyFont="1" applyFill="1" applyBorder="1" applyAlignment="1" applyProtection="1">
      <alignment horizontal="right"/>
    </xf>
    <xf numFmtId="0" fontId="18" fillId="0" borderId="0" xfId="0" applyFont="1" applyProtection="1"/>
    <xf numFmtId="0" fontId="19" fillId="0" borderId="0" xfId="0" applyFont="1" applyProtection="1"/>
    <xf numFmtId="0" fontId="20" fillId="0" borderId="0" xfId="0" applyFont="1" applyProtection="1"/>
    <xf numFmtId="43" fontId="11" fillId="0" borderId="0" xfId="1" applyFont="1" applyFill="1" applyBorder="1" applyAlignment="1" applyProtection="1">
      <alignment horizontal="left"/>
    </xf>
    <xf numFmtId="0" fontId="26" fillId="0" borderId="0" xfId="0" applyFont="1" applyAlignment="1" applyProtection="1">
      <alignment horizontal="center"/>
    </xf>
    <xf numFmtId="0" fontId="32" fillId="0" borderId="0" xfId="0" applyFont="1" applyAlignment="1" applyProtection="1">
      <alignment horizontal="center"/>
    </xf>
    <xf numFmtId="0" fontId="32" fillId="0" borderId="0" xfId="0" applyFont="1" applyProtection="1"/>
    <xf numFmtId="0" fontId="4" fillId="0" borderId="0" xfId="0" applyFont="1" applyProtection="1"/>
    <xf numFmtId="0" fontId="24" fillId="0" borderId="0" xfId="0" applyFont="1" applyProtection="1"/>
    <xf numFmtId="0" fontId="43" fillId="4" borderId="0" xfId="0" applyFont="1" applyFill="1" applyProtection="1"/>
    <xf numFmtId="0" fontId="26" fillId="4" borderId="0" xfId="0" applyFont="1" applyFill="1" applyAlignment="1" applyProtection="1">
      <alignment horizontal="center"/>
    </xf>
    <xf numFmtId="0" fontId="44" fillId="0" borderId="0" xfId="0" applyFont="1" applyProtection="1"/>
    <xf numFmtId="0" fontId="14" fillId="0" borderId="0" xfId="0" applyFont="1" applyAlignment="1" applyProtection="1">
      <alignment horizontal="center"/>
    </xf>
    <xf numFmtId="0" fontId="10" fillId="2" borderId="0" xfId="0" applyFont="1" applyFill="1" applyProtection="1"/>
    <xf numFmtId="0" fontId="14" fillId="2" borderId="0" xfId="0" applyFont="1" applyFill="1" applyAlignment="1" applyProtection="1">
      <alignment horizontal="center"/>
    </xf>
    <xf numFmtId="0" fontId="24" fillId="0" borderId="0" xfId="0" applyFont="1" applyAlignment="1" applyProtection="1">
      <alignment horizontal="center"/>
    </xf>
    <xf numFmtId="0" fontId="24" fillId="0" borderId="0" xfId="0" applyFont="1" applyFill="1" applyProtection="1"/>
    <xf numFmtId="0" fontId="4" fillId="0" borderId="0" xfId="0" applyFont="1" applyAlignment="1" applyProtection="1">
      <alignment horizontal="center"/>
    </xf>
    <xf numFmtId="0" fontId="11" fillId="0" borderId="0" xfId="0" applyFont="1" applyProtection="1"/>
    <xf numFmtId="0" fontId="45" fillId="4" borderId="0" xfId="0" applyFont="1" applyFill="1" applyProtection="1"/>
    <xf numFmtId="0" fontId="46" fillId="4" borderId="0" xfId="0" applyFont="1" applyFill="1" applyProtection="1"/>
    <xf numFmtId="0" fontId="11" fillId="4" borderId="0" xfId="0" applyFont="1" applyFill="1" applyProtection="1"/>
    <xf numFmtId="0" fontId="16" fillId="0" borderId="0" xfId="0" applyFont="1" applyProtection="1"/>
    <xf numFmtId="0" fontId="6" fillId="2" borderId="0" xfId="0" applyFont="1" applyFill="1" applyAlignment="1" applyProtection="1">
      <alignment horizontal="right"/>
    </xf>
    <xf numFmtId="14" fontId="6" fillId="2" borderId="0" xfId="0" applyNumberFormat="1" applyFont="1" applyFill="1" applyProtection="1"/>
    <xf numFmtId="14" fontId="47" fillId="3" borderId="0" xfId="0" applyNumberFormat="1" applyFont="1" applyFill="1" applyProtection="1"/>
    <xf numFmtId="166" fontId="6" fillId="2" borderId="0" xfId="0" applyNumberFormat="1" applyFont="1" applyFill="1" applyProtection="1"/>
    <xf numFmtId="164" fontId="11" fillId="0" borderId="0" xfId="0" applyNumberFormat="1" applyFont="1" applyProtection="1"/>
    <xf numFmtId="164" fontId="47" fillId="3" borderId="0" xfId="0" applyNumberFormat="1" applyFont="1" applyFill="1" applyProtection="1"/>
    <xf numFmtId="166" fontId="6" fillId="0" borderId="0" xfId="0" applyNumberFormat="1" applyFont="1" applyProtection="1"/>
    <xf numFmtId="0" fontId="6" fillId="0" borderId="0" xfId="0" applyFont="1" applyProtection="1"/>
    <xf numFmtId="0" fontId="47" fillId="3" borderId="0" xfId="0" applyFont="1" applyFill="1" applyProtection="1"/>
    <xf numFmtId="166" fontId="6" fillId="2" borderId="0" xfId="0" applyNumberFormat="1" applyFont="1" applyFill="1" applyAlignment="1" applyProtection="1">
      <alignment horizontal="center"/>
    </xf>
    <xf numFmtId="164" fontId="4" fillId="3" borderId="0" xfId="0" applyNumberFormat="1" applyFont="1" applyFill="1" applyProtection="1"/>
    <xf numFmtId="164" fontId="4" fillId="0" borderId="0" xfId="0" applyNumberFormat="1" applyFont="1" applyProtection="1"/>
    <xf numFmtId="1" fontId="47" fillId="3" borderId="0" xfId="0" applyNumberFormat="1" applyFont="1" applyFill="1" applyProtection="1"/>
    <xf numFmtId="164" fontId="16" fillId="0" borderId="0" xfId="0" applyNumberFormat="1" applyFont="1" applyProtection="1"/>
    <xf numFmtId="0" fontId="11" fillId="0" borderId="0" xfId="0" applyFont="1" applyAlignment="1" applyProtection="1">
      <alignment horizontal="center"/>
    </xf>
    <xf numFmtId="0" fontId="40" fillId="0" borderId="0" xfId="0" applyFont="1" applyProtection="1"/>
    <xf numFmtId="164" fontId="48" fillId="3" borderId="0" xfId="0" applyNumberFormat="1" applyFont="1" applyFill="1" applyProtection="1"/>
    <xf numFmtId="0" fontId="49" fillId="0" borderId="0" xfId="0" applyFont="1" applyProtection="1"/>
    <xf numFmtId="164" fontId="49" fillId="0" borderId="0" xfId="1" applyNumberFormat="1" applyFont="1" applyBorder="1" applyAlignment="1" applyProtection="1">
      <alignment horizontal="center"/>
    </xf>
    <xf numFmtId="164" fontId="49" fillId="0" borderId="0" xfId="0" applyNumberFormat="1" applyFont="1" applyProtection="1"/>
    <xf numFmtId="0" fontId="32" fillId="3" borderId="0" xfId="0" applyFont="1" applyFill="1" applyAlignment="1" applyProtection="1">
      <alignment horizontal="center"/>
    </xf>
    <xf numFmtId="0" fontId="11" fillId="0" borderId="0" xfId="0" applyFont="1" applyAlignment="1" applyProtection="1">
      <alignment horizontal="right"/>
    </xf>
    <xf numFmtId="0" fontId="6" fillId="2" borderId="0" xfId="0" applyFont="1" applyFill="1" applyAlignment="1" applyProtection="1">
      <alignment horizontal="center"/>
    </xf>
    <xf numFmtId="170" fontId="6" fillId="2" borderId="0" xfId="0" applyNumberFormat="1" applyFont="1" applyFill="1" applyProtection="1"/>
    <xf numFmtId="0" fontId="11" fillId="2" borderId="0" xfId="0" applyFont="1" applyFill="1" applyAlignment="1" applyProtection="1">
      <alignment horizontal="center"/>
    </xf>
    <xf numFmtId="0" fontId="31" fillId="4" borderId="0" xfId="0" applyFont="1" applyFill="1" applyAlignment="1" applyProtection="1">
      <alignment horizontal="center"/>
    </xf>
    <xf numFmtId="0" fontId="16" fillId="0" borderId="0" xfId="0" applyFont="1" applyAlignment="1" applyProtection="1">
      <alignment horizontal="center"/>
    </xf>
    <xf numFmtId="0" fontId="47" fillId="3" borderId="0" xfId="0" applyFont="1" applyFill="1" applyAlignment="1" applyProtection="1">
      <alignment horizontal="center"/>
    </xf>
    <xf numFmtId="0" fontId="47" fillId="0" borderId="0" xfId="0" applyFont="1" applyFill="1" applyProtection="1"/>
    <xf numFmtId="0" fontId="48" fillId="5" borderId="11" xfId="0" applyFont="1" applyFill="1" applyBorder="1" applyProtection="1"/>
    <xf numFmtId="0" fontId="11" fillId="0" borderId="0" xfId="0" applyFont="1" applyAlignment="1" applyProtection="1">
      <alignment horizontal="center" vertical="center" wrapText="1"/>
    </xf>
    <xf numFmtId="165" fontId="47" fillId="3" borderId="0" xfId="0" applyNumberFormat="1" applyFont="1" applyFill="1" applyProtection="1"/>
    <xf numFmtId="167" fontId="6" fillId="2" borderId="0" xfId="0" applyNumberFormat="1" applyFont="1" applyFill="1" applyAlignment="1" applyProtection="1">
      <alignment horizontal="center"/>
    </xf>
    <xf numFmtId="165" fontId="47" fillId="3" borderId="7" xfId="0" applyNumberFormat="1" applyFont="1" applyFill="1" applyBorder="1" applyProtection="1"/>
    <xf numFmtId="165" fontId="47" fillId="3" borderId="6" xfId="0" applyNumberFormat="1" applyFont="1" applyFill="1" applyBorder="1" applyProtection="1"/>
    <xf numFmtId="165" fontId="11" fillId="0" borderId="0" xfId="0" applyNumberFormat="1" applyFont="1" applyProtection="1"/>
    <xf numFmtId="14" fontId="11" fillId="0" borderId="0" xfId="0" applyNumberFormat="1" applyFont="1" applyProtection="1"/>
    <xf numFmtId="0" fontId="11" fillId="0" borderId="0" xfId="0" applyFont="1" applyProtection="1">
      <protection hidden="1"/>
    </xf>
    <xf numFmtId="0" fontId="11" fillId="0" borderId="0" xfId="0" applyFont="1"/>
    <xf numFmtId="0" fontId="50" fillId="0" borderId="0" xfId="0" applyFont="1" applyAlignment="1" applyProtection="1">
      <alignment horizontal="left"/>
      <protection hidden="1"/>
    </xf>
    <xf numFmtId="43" fontId="50" fillId="0" borderId="0" xfId="0" applyNumberFormat="1" applyFont="1" applyAlignment="1" applyProtection="1">
      <alignment horizontal="left"/>
      <protection hidden="1"/>
    </xf>
    <xf numFmtId="0" fontId="51" fillId="0" borderId="0" xfId="0" applyFont="1" applyProtection="1">
      <protection hidden="1"/>
    </xf>
    <xf numFmtId="0" fontId="9" fillId="0" borderId="4" xfId="0" applyFont="1" applyBorder="1" applyAlignment="1" applyProtection="1">
      <alignment horizontal="center" vertical="top" wrapText="1"/>
      <protection hidden="1"/>
    </xf>
    <xf numFmtId="0" fontId="9" fillId="0" borderId="4" xfId="0" applyFont="1" applyBorder="1" applyAlignment="1">
      <alignment horizontal="center"/>
    </xf>
    <xf numFmtId="171" fontId="9" fillId="0" borderId="4" xfId="0" applyNumberFormat="1" applyFont="1" applyBorder="1" applyAlignment="1" applyProtection="1">
      <alignment horizontal="center"/>
      <protection hidden="1"/>
    </xf>
    <xf numFmtId="49" fontId="9" fillId="0" borderId="4" xfId="0" applyNumberFormat="1" applyFont="1" applyBorder="1" applyAlignment="1" applyProtection="1">
      <alignment horizontal="center"/>
      <protection hidden="1"/>
    </xf>
    <xf numFmtId="0" fontId="52" fillId="0" borderId="0" xfId="0" applyFont="1" applyProtection="1">
      <protection hidden="1"/>
    </xf>
    <xf numFmtId="0" fontId="52" fillId="0" borderId="0" xfId="0" applyFont="1"/>
    <xf numFmtId="0" fontId="52" fillId="0" borderId="0" xfId="0" applyNumberFormat="1" applyFont="1" applyProtection="1">
      <protection hidden="1"/>
    </xf>
    <xf numFmtId="0" fontId="9" fillId="0" borderId="4" xfId="0" applyFont="1" applyFill="1" applyBorder="1" applyAlignment="1" applyProtection="1">
      <alignment horizontal="center" vertical="top" wrapText="1"/>
      <protection hidden="1"/>
    </xf>
    <xf numFmtId="0" fontId="9" fillId="0" borderId="4" xfId="0" applyNumberFormat="1" applyFont="1" applyBorder="1" applyAlignment="1" applyProtection="1">
      <alignment horizontal="center"/>
      <protection hidden="1"/>
    </xf>
    <xf numFmtId="165" fontId="9" fillId="0" borderId="4" xfId="0" applyNumberFormat="1" applyFont="1" applyBorder="1" applyAlignment="1" applyProtection="1">
      <alignment horizontal="center"/>
      <protection hidden="1"/>
    </xf>
    <xf numFmtId="0" fontId="9" fillId="0" borderId="5" xfId="0" applyFont="1" applyBorder="1" applyAlignment="1" applyProtection="1">
      <alignment horizontal="center" vertical="top" wrapText="1"/>
      <protection hidden="1"/>
    </xf>
    <xf numFmtId="165" fontId="11" fillId="0" borderId="0" xfId="0" applyNumberFormat="1" applyFont="1" applyProtection="1">
      <protection hidden="1"/>
    </xf>
    <xf numFmtId="165" fontId="52" fillId="0" borderId="0" xfId="0" applyNumberFormat="1" applyFont="1" applyProtection="1">
      <protection hidden="1"/>
    </xf>
    <xf numFmtId="170" fontId="9" fillId="0" borderId="9" xfId="0" applyNumberFormat="1" applyFont="1" applyBorder="1" applyAlignment="1" applyProtection="1">
      <alignment horizontal="center"/>
      <protection hidden="1"/>
    </xf>
    <xf numFmtId="165" fontId="9" fillId="0" borderId="5" xfId="0" applyNumberFormat="1" applyFont="1" applyBorder="1" applyAlignment="1" applyProtection="1">
      <alignment horizontal="center"/>
      <protection hidden="1"/>
    </xf>
    <xf numFmtId="171" fontId="52" fillId="0" borderId="0" xfId="0" applyNumberFormat="1" applyFont="1" applyAlignment="1" applyProtection="1">
      <alignment horizontal="left"/>
      <protection hidden="1"/>
    </xf>
    <xf numFmtId="0" fontId="4" fillId="6" borderId="0" xfId="0" applyFont="1" applyFill="1" applyAlignment="1" applyProtection="1">
      <alignment horizontal="center"/>
    </xf>
    <xf numFmtId="0" fontId="54" fillId="0" borderId="0" xfId="0" applyFont="1" applyProtection="1"/>
    <xf numFmtId="167" fontId="55" fillId="0" borderId="0" xfId="0" applyNumberFormat="1" applyFont="1" applyProtection="1"/>
    <xf numFmtId="0" fontId="56" fillId="0" borderId="0" xfId="0" applyFont="1"/>
    <xf numFmtId="0" fontId="57" fillId="0" borderId="0" xfId="0" applyFont="1" applyAlignment="1">
      <alignment vertical="center" wrapText="1"/>
    </xf>
    <xf numFmtId="0" fontId="57" fillId="0" borderId="0" xfId="0" applyFont="1"/>
    <xf numFmtId="0" fontId="57" fillId="0" borderId="0" xfId="0" applyFont="1" applyAlignment="1">
      <alignment vertical="center"/>
    </xf>
    <xf numFmtId="0" fontId="58" fillId="0" borderId="0" xfId="0" applyFont="1" applyAlignment="1">
      <alignment vertical="center" wrapText="1"/>
    </xf>
    <xf numFmtId="0" fontId="59" fillId="0" borderId="0" xfId="0" applyFont="1" applyAlignment="1" applyProtection="1">
      <alignment horizontal="center"/>
    </xf>
    <xf numFmtId="0" fontId="52" fillId="0" borderId="0" xfId="0" applyFont="1" applyProtection="1"/>
    <xf numFmtId="0" fontId="52" fillId="8" borderId="0" xfId="0" applyFont="1" applyFill="1" applyBorder="1" applyAlignment="1" applyProtection="1">
      <alignment horizontal="center"/>
    </xf>
    <xf numFmtId="0" fontId="9" fillId="8" borderId="1" xfId="0" applyFont="1" applyFill="1" applyBorder="1" applyAlignment="1" applyProtection="1">
      <alignment horizontal="center"/>
    </xf>
    <xf numFmtId="0" fontId="9" fillId="8" borderId="0" xfId="0" applyFont="1" applyFill="1" applyBorder="1" applyAlignment="1" applyProtection="1">
      <alignment horizontal="center"/>
    </xf>
    <xf numFmtId="0" fontId="9" fillId="8" borderId="1" xfId="0" applyFont="1" applyFill="1" applyBorder="1" applyAlignment="1" applyProtection="1">
      <alignment horizontal="left"/>
    </xf>
    <xf numFmtId="0" fontId="52" fillId="8" borderId="1" xfId="0" applyFont="1" applyFill="1" applyBorder="1" applyProtection="1"/>
    <xf numFmtId="0" fontId="9" fillId="8" borderId="1" xfId="0" applyFont="1" applyFill="1" applyBorder="1" applyProtection="1"/>
    <xf numFmtId="0" fontId="52" fillId="0" borderId="10" xfId="0" applyFont="1" applyBorder="1" applyProtection="1"/>
    <xf numFmtId="0" fontId="14" fillId="8" borderId="0" xfId="0" applyFont="1" applyFill="1" applyBorder="1" applyAlignment="1" applyProtection="1">
      <alignment horizontal="center"/>
    </xf>
    <xf numFmtId="0" fontId="9" fillId="0" borderId="10" xfId="0" applyFont="1" applyBorder="1" applyAlignment="1" applyProtection="1">
      <alignment horizontal="center"/>
    </xf>
    <xf numFmtId="0" fontId="14" fillId="0" borderId="10" xfId="0" applyFont="1" applyBorder="1" applyProtection="1"/>
    <xf numFmtId="0" fontId="52" fillId="0" borderId="12" xfId="0" applyFont="1" applyBorder="1" applyProtection="1"/>
    <xf numFmtId="0" fontId="14" fillId="0" borderId="12" xfId="0" applyFont="1" applyBorder="1" applyProtection="1"/>
    <xf numFmtId="0" fontId="11" fillId="0" borderId="0" xfId="0" applyNumberFormat="1" applyFont="1" applyProtection="1">
      <protection hidden="1"/>
    </xf>
    <xf numFmtId="1" fontId="9" fillId="8" borderId="0" xfId="1" applyNumberFormat="1" applyFont="1" applyFill="1" applyBorder="1" applyAlignment="1" applyProtection="1">
      <alignment horizontal="center"/>
    </xf>
    <xf numFmtId="0" fontId="9" fillId="8" borderId="0" xfId="0" applyFont="1" applyFill="1" applyBorder="1" applyProtection="1"/>
    <xf numFmtId="1" fontId="52" fillId="8" borderId="0" xfId="1" applyNumberFormat="1" applyFont="1" applyFill="1" applyBorder="1" applyAlignment="1" applyProtection="1">
      <alignment horizontal="center"/>
    </xf>
    <xf numFmtId="43" fontId="52" fillId="8" borderId="0" xfId="1" applyFont="1" applyFill="1" applyBorder="1" applyAlignment="1" applyProtection="1">
      <alignment horizontal="center"/>
    </xf>
    <xf numFmtId="0" fontId="11" fillId="0" borderId="0" xfId="0" applyFont="1" applyFill="1" applyProtection="1"/>
    <xf numFmtId="0" fontId="58" fillId="0" borderId="0" xfId="0" applyFont="1"/>
    <xf numFmtId="0" fontId="67" fillId="0" borderId="0" xfId="0" applyFont="1"/>
    <xf numFmtId="43" fontId="9" fillId="8" borderId="0" xfId="1" applyFont="1" applyFill="1" applyBorder="1" applyAlignment="1" applyProtection="1">
      <alignment horizontal="right"/>
    </xf>
    <xf numFmtId="0" fontId="52" fillId="8" borderId="0" xfId="0" applyFont="1" applyFill="1" applyBorder="1" applyAlignment="1" applyProtection="1">
      <alignment horizontal="left" vertical="top" wrapText="1"/>
    </xf>
    <xf numFmtId="43" fontId="9" fillId="8" borderId="0" xfId="1" applyFont="1" applyFill="1" applyBorder="1" applyAlignment="1" applyProtection="1">
      <alignment horizontal="center"/>
    </xf>
    <xf numFmtId="43" fontId="9" fillId="8" borderId="0" xfId="1" applyFont="1" applyFill="1" applyBorder="1" applyAlignment="1" applyProtection="1">
      <alignment horizontal="left"/>
    </xf>
    <xf numFmtId="0" fontId="2" fillId="8" borderId="0" xfId="0" applyFont="1" applyFill="1" applyProtection="1"/>
    <xf numFmtId="0" fontId="9" fillId="8" borderId="0" xfId="0" applyFont="1" applyFill="1" applyBorder="1" applyAlignment="1" applyProtection="1">
      <alignment horizontal="right"/>
    </xf>
    <xf numFmtId="170" fontId="63" fillId="8" borderId="0" xfId="1" applyNumberFormat="1" applyFont="1" applyFill="1" applyBorder="1" applyAlignment="1" applyProtection="1">
      <alignment horizontal="left"/>
    </xf>
    <xf numFmtId="0" fontId="9" fillId="8" borderId="0" xfId="0" applyFont="1" applyFill="1" applyBorder="1" applyAlignment="1" applyProtection="1">
      <alignment horizontal="left"/>
    </xf>
    <xf numFmtId="170" fontId="63" fillId="8" borderId="0" xfId="0" applyNumberFormat="1" applyFont="1" applyFill="1" applyBorder="1" applyAlignment="1" applyProtection="1">
      <alignment horizontal="left"/>
    </xf>
    <xf numFmtId="168" fontId="52" fillId="8" borderId="0" xfId="1" applyNumberFormat="1" applyFont="1" applyFill="1" applyBorder="1" applyAlignment="1" applyProtection="1">
      <alignment horizontal="left"/>
    </xf>
    <xf numFmtId="0" fontId="26" fillId="0" borderId="0" xfId="0" applyFont="1" applyFill="1" applyBorder="1" applyAlignment="1" applyProtection="1">
      <alignment horizontal="center"/>
    </xf>
    <xf numFmtId="0" fontId="27" fillId="0" borderId="0" xfId="0" applyFont="1" applyFill="1" applyProtection="1"/>
    <xf numFmtId="0" fontId="26" fillId="0" borderId="0" xfId="0" applyFont="1" applyFill="1" applyProtection="1"/>
    <xf numFmtId="0" fontId="18" fillId="0" borderId="0" xfId="0" applyFont="1" applyFill="1" applyProtection="1"/>
    <xf numFmtId="0" fontId="28" fillId="0" borderId="0" xfId="0" applyFont="1" applyFill="1" applyBorder="1" applyAlignment="1" applyProtection="1">
      <alignment horizontal="center"/>
    </xf>
    <xf numFmtId="0" fontId="28" fillId="0" borderId="0" xfId="0" applyFont="1" applyFill="1" applyProtection="1"/>
    <xf numFmtId="0" fontId="29" fillId="0" borderId="0" xfId="0" applyFont="1" applyFill="1" applyProtection="1"/>
    <xf numFmtId="0" fontId="19" fillId="0" borderId="0" xfId="0" applyFont="1" applyFill="1" applyProtection="1"/>
    <xf numFmtId="0" fontId="2" fillId="0" borderId="0" xfId="0" applyFont="1" applyFill="1" applyBorder="1" applyProtection="1"/>
    <xf numFmtId="15" fontId="28" fillId="0" borderId="0" xfId="0" applyNumberFormat="1" applyFont="1" applyFill="1" applyBorder="1" applyAlignment="1" applyProtection="1">
      <alignment horizontal="center"/>
    </xf>
    <xf numFmtId="165" fontId="28" fillId="0" borderId="0" xfId="0" applyNumberFormat="1" applyFont="1" applyFill="1" applyProtection="1"/>
    <xf numFmtId="0" fontId="30" fillId="0" borderId="0" xfId="0" applyFont="1" applyFill="1" applyProtection="1"/>
    <xf numFmtId="0" fontId="31" fillId="0" borderId="0" xfId="0" applyFont="1" applyFill="1" applyAlignment="1" applyProtection="1">
      <alignment horizontal="center"/>
    </xf>
    <xf numFmtId="0" fontId="31" fillId="0" borderId="0" xfId="0" applyFont="1" applyFill="1" applyProtection="1"/>
    <xf numFmtId="0" fontId="32" fillId="0" borderId="0" xfId="0" applyFont="1" applyFill="1" applyAlignment="1" applyProtection="1">
      <alignment horizontal="center"/>
    </xf>
    <xf numFmtId="0" fontId="32" fillId="0" borderId="0" xfId="0" applyFont="1" applyFill="1" applyProtection="1"/>
    <xf numFmtId="0" fontId="32" fillId="0" borderId="0" xfId="0" applyFont="1" applyFill="1" applyBorder="1" applyAlignment="1" applyProtection="1">
      <alignment horizontal="center"/>
    </xf>
    <xf numFmtId="0" fontId="20" fillId="0" borderId="0" xfId="0" applyFont="1" applyFill="1" applyProtection="1"/>
    <xf numFmtId="0" fontId="33" fillId="0" borderId="0" xfId="0" applyFont="1" applyFill="1" applyProtection="1"/>
    <xf numFmtId="1" fontId="52" fillId="0" borderId="0" xfId="0" applyNumberFormat="1" applyFont="1" applyFill="1" applyAlignment="1" applyProtection="1">
      <alignment horizontal="center"/>
    </xf>
    <xf numFmtId="0" fontId="52" fillId="0" borderId="0" xfId="0" applyFont="1" applyFill="1" applyProtection="1"/>
    <xf numFmtId="0" fontId="52" fillId="0" borderId="0" xfId="0" applyFont="1" applyFill="1" applyAlignment="1" applyProtection="1">
      <alignment horizontal="center"/>
    </xf>
    <xf numFmtId="1" fontId="0" fillId="0" borderId="0" xfId="0" applyNumberFormat="1" applyFill="1" applyAlignment="1" applyProtection="1">
      <alignment horizontal="center"/>
    </xf>
    <xf numFmtId="0" fontId="0" fillId="0" borderId="0" xfId="0" applyFill="1" applyProtection="1"/>
    <xf numFmtId="0" fontId="0" fillId="0" borderId="0" xfId="0" applyFill="1" applyAlignment="1" applyProtection="1">
      <alignment horizontal="center"/>
    </xf>
    <xf numFmtId="43" fontId="70" fillId="8" borderId="0" xfId="1" applyFont="1" applyFill="1" applyBorder="1" applyAlignment="1" applyProtection="1">
      <alignment horizontal="right"/>
    </xf>
    <xf numFmtId="164" fontId="52" fillId="8" borderId="0" xfId="1" applyNumberFormat="1" applyFont="1" applyFill="1" applyBorder="1" applyAlignment="1" applyProtection="1">
      <alignment horizontal="left" vertical="top"/>
    </xf>
    <xf numFmtId="164" fontId="61" fillId="8" borderId="0" xfId="1" applyNumberFormat="1" applyFont="1" applyFill="1" applyBorder="1" applyAlignment="1" applyProtection="1">
      <alignment horizontal="left" vertical="top"/>
    </xf>
    <xf numFmtId="0" fontId="52" fillId="8" borderId="0" xfId="0" applyFont="1" applyFill="1" applyBorder="1" applyAlignment="1" applyProtection="1">
      <alignment horizontal="left" vertical="top"/>
    </xf>
    <xf numFmtId="43" fontId="52" fillId="8" borderId="0" xfId="1" applyFont="1" applyFill="1" applyBorder="1" applyAlignment="1" applyProtection="1">
      <alignment horizontal="left" vertical="top"/>
    </xf>
    <xf numFmtId="43" fontId="72" fillId="8" borderId="0" xfId="1" applyFont="1" applyFill="1" applyBorder="1" applyAlignment="1" applyProtection="1">
      <alignment horizontal="center"/>
    </xf>
    <xf numFmtId="0" fontId="0" fillId="8" borderId="0" xfId="0" applyFill="1" applyProtection="1"/>
    <xf numFmtId="0" fontId="0" fillId="8" borderId="0" xfId="0" applyFill="1" applyAlignment="1" applyProtection="1">
      <alignment horizontal="center"/>
    </xf>
    <xf numFmtId="43" fontId="7" fillId="8" borderId="0" xfId="1" applyFont="1" applyFill="1" applyBorder="1" applyAlignment="1" applyProtection="1">
      <alignment horizontal="left" vertical="top"/>
    </xf>
    <xf numFmtId="164" fontId="7" fillId="8" borderId="0" xfId="1" applyNumberFormat="1" applyFont="1" applyFill="1" applyBorder="1" applyAlignment="1" applyProtection="1">
      <alignment horizontal="left" vertical="top"/>
    </xf>
    <xf numFmtId="1" fontId="17" fillId="0" borderId="0" xfId="1" applyNumberFormat="1" applyFont="1" applyFill="1" applyBorder="1" applyAlignment="1" applyProtection="1">
      <alignment horizontal="left" vertical="top"/>
    </xf>
    <xf numFmtId="0" fontId="32" fillId="0" borderId="0" xfId="0" applyFont="1" applyFill="1" applyAlignment="1" applyProtection="1">
      <alignment vertical="top"/>
    </xf>
    <xf numFmtId="0" fontId="32" fillId="0" borderId="0" xfId="0" applyFont="1" applyFill="1" applyAlignment="1" applyProtection="1">
      <alignment horizontal="center" vertical="top"/>
    </xf>
    <xf numFmtId="15" fontId="32" fillId="0" borderId="0" xfId="0" applyNumberFormat="1" applyFont="1" applyFill="1" applyAlignment="1" applyProtection="1">
      <alignment vertical="top"/>
    </xf>
    <xf numFmtId="1" fontId="32" fillId="0" borderId="0" xfId="0" applyNumberFormat="1" applyFont="1" applyFill="1" applyAlignment="1" applyProtection="1">
      <alignment horizontal="center" vertical="top"/>
    </xf>
    <xf numFmtId="14" fontId="32" fillId="0" borderId="0" xfId="0" applyNumberFormat="1" applyFont="1" applyFill="1" applyAlignment="1" applyProtection="1">
      <alignment horizontal="center" vertical="top"/>
    </xf>
    <xf numFmtId="172" fontId="32" fillId="0" borderId="0" xfId="0" applyNumberFormat="1" applyFont="1" applyFill="1" applyAlignment="1" applyProtection="1">
      <alignment vertical="top"/>
    </xf>
    <xf numFmtId="0" fontId="20" fillId="0" borderId="0" xfId="0" applyFont="1" applyFill="1" applyAlignment="1" applyProtection="1">
      <alignment vertical="top"/>
    </xf>
    <xf numFmtId="0" fontId="20" fillId="0" borderId="0" xfId="0" applyFont="1" applyAlignment="1" applyProtection="1">
      <alignment vertical="top"/>
    </xf>
    <xf numFmtId="0" fontId="0" fillId="0" borderId="0" xfId="0" applyAlignment="1" applyProtection="1">
      <alignment vertical="top"/>
    </xf>
    <xf numFmtId="43" fontId="52" fillId="8" borderId="0" xfId="1" applyFont="1" applyFill="1" applyBorder="1" applyAlignment="1" applyProtection="1">
      <alignment horizontal="center" vertical="top"/>
    </xf>
    <xf numFmtId="0" fontId="52" fillId="8" borderId="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33" fillId="0" borderId="0" xfId="0" applyFont="1" applyFill="1" applyAlignment="1" applyProtection="1">
      <alignment vertical="top"/>
    </xf>
    <xf numFmtId="0" fontId="28" fillId="0" borderId="0" xfId="0" applyFont="1" applyFill="1" applyAlignment="1" applyProtection="1">
      <alignment vertical="top"/>
    </xf>
    <xf numFmtId="0" fontId="34" fillId="0" borderId="0" xfId="0" applyFont="1" applyFill="1" applyAlignment="1" applyProtection="1">
      <alignment horizontal="right" vertical="top"/>
    </xf>
    <xf numFmtId="0" fontId="34" fillId="0" borderId="0" xfId="0" applyFont="1" applyFill="1" applyAlignment="1" applyProtection="1">
      <alignment horizontal="center" vertical="top"/>
    </xf>
    <xf numFmtId="0" fontId="35" fillId="0" borderId="0" xfId="0" applyFont="1" applyFill="1" applyAlignment="1" applyProtection="1">
      <alignment vertical="top"/>
    </xf>
    <xf numFmtId="165" fontId="32" fillId="0" borderId="0" xfId="0" applyNumberFormat="1" applyFont="1" applyFill="1" applyAlignment="1" applyProtection="1">
      <alignment horizontal="right" vertical="top"/>
    </xf>
    <xf numFmtId="165" fontId="32" fillId="0" borderId="0" xfId="0" applyNumberFormat="1" applyFont="1" applyFill="1" applyAlignment="1" applyProtection="1">
      <alignment vertical="top"/>
    </xf>
    <xf numFmtId="0" fontId="22" fillId="0" borderId="0" xfId="0" applyFont="1" applyFill="1" applyAlignment="1" applyProtection="1">
      <alignment vertical="top"/>
    </xf>
    <xf numFmtId="0" fontId="22" fillId="0" borderId="0" xfId="0" applyFont="1" applyAlignment="1" applyProtection="1">
      <alignment vertical="top"/>
    </xf>
    <xf numFmtId="0" fontId="7" fillId="0" borderId="0" xfId="0" applyFont="1" applyAlignment="1" applyProtection="1">
      <alignment vertical="top"/>
    </xf>
    <xf numFmtId="0" fontId="32" fillId="0" borderId="0" xfId="0" applyFont="1" applyFill="1" applyBorder="1" applyAlignment="1" applyProtection="1">
      <alignment horizontal="center" vertical="top"/>
    </xf>
    <xf numFmtId="49" fontId="12" fillId="11" borderId="0" xfId="1" applyNumberFormat="1" applyFont="1" applyFill="1" applyBorder="1" applyAlignment="1" applyProtection="1">
      <alignment horizontal="center" vertical="top"/>
    </xf>
    <xf numFmtId="1" fontId="9" fillId="11" borderId="0" xfId="1" applyNumberFormat="1" applyFont="1" applyFill="1" applyBorder="1" applyAlignment="1" applyProtection="1">
      <alignment vertical="top"/>
    </xf>
    <xf numFmtId="1" fontId="37" fillId="11" borderId="0" xfId="1" applyNumberFormat="1" applyFont="1" applyFill="1" applyBorder="1" applyAlignment="1" applyProtection="1">
      <alignment vertical="top"/>
    </xf>
    <xf numFmtId="1" fontId="37" fillId="0" borderId="0" xfId="1" applyNumberFormat="1" applyFont="1" applyFill="1" applyBorder="1" applyAlignment="1" applyProtection="1">
      <alignment vertical="top"/>
    </xf>
    <xf numFmtId="1" fontId="69" fillId="8" borderId="0" xfId="1" applyNumberFormat="1" applyFont="1" applyFill="1" applyBorder="1" applyAlignment="1" applyProtection="1">
      <alignment horizontal="center" vertical="top"/>
    </xf>
    <xf numFmtId="0" fontId="4" fillId="0" borderId="0" xfId="0" applyFont="1" applyFill="1" applyAlignment="1" applyProtection="1">
      <alignment vertical="top"/>
    </xf>
    <xf numFmtId="0" fontId="32" fillId="0" borderId="0" xfId="0" applyFont="1" applyFill="1" applyAlignment="1" applyProtection="1">
      <alignment horizontal="right" vertical="top"/>
    </xf>
    <xf numFmtId="1" fontId="68" fillId="8" borderId="0" xfId="1" applyNumberFormat="1" applyFont="1" applyFill="1" applyBorder="1" applyAlignment="1" applyProtection="1">
      <alignment horizontal="center" vertical="top"/>
    </xf>
    <xf numFmtId="0" fontId="31" fillId="0" borderId="0" xfId="0" applyFont="1" applyFill="1" applyAlignment="1" applyProtection="1">
      <alignment vertical="top"/>
    </xf>
    <xf numFmtId="165" fontId="28" fillId="0" borderId="0" xfId="0" applyNumberFormat="1" applyFont="1" applyFill="1" applyAlignment="1" applyProtection="1">
      <alignment horizontal="center" vertical="top"/>
    </xf>
    <xf numFmtId="43" fontId="32" fillId="0" borderId="0" xfId="0" applyNumberFormat="1" applyFont="1" applyFill="1" applyAlignment="1" applyProtection="1">
      <alignment horizontal="right" vertical="top"/>
    </xf>
    <xf numFmtId="0" fontId="35" fillId="0" borderId="0" xfId="0" applyFont="1" applyFill="1" applyAlignment="1" applyProtection="1">
      <alignment horizontal="right" vertical="top"/>
    </xf>
    <xf numFmtId="165" fontId="35" fillId="0" borderId="0" xfId="0" applyNumberFormat="1" applyFont="1" applyFill="1" applyAlignment="1" applyProtection="1">
      <alignment vertical="top"/>
    </xf>
    <xf numFmtId="165" fontId="33" fillId="0" borderId="0" xfId="0" applyNumberFormat="1" applyFont="1" applyFill="1" applyAlignment="1" applyProtection="1">
      <alignment vertical="top"/>
    </xf>
    <xf numFmtId="3" fontId="32" fillId="0" borderId="0" xfId="0" applyNumberFormat="1" applyFont="1" applyFill="1" applyBorder="1" applyAlignment="1" applyProtection="1">
      <alignment horizontal="center" vertical="top"/>
    </xf>
    <xf numFmtId="0" fontId="32" fillId="0" borderId="0" xfId="0" applyFont="1" applyFill="1" applyAlignment="1" applyProtection="1">
      <alignment horizontal="left" vertical="top"/>
    </xf>
    <xf numFmtId="1" fontId="32" fillId="0" borderId="0" xfId="0" applyNumberFormat="1" applyFont="1" applyFill="1" applyAlignment="1" applyProtection="1">
      <alignment horizontal="left" vertical="top"/>
    </xf>
    <xf numFmtId="43" fontId="32" fillId="0" borderId="0" xfId="0" applyNumberFormat="1" applyFont="1" applyFill="1" applyAlignment="1" applyProtection="1">
      <alignment vertical="top"/>
    </xf>
    <xf numFmtId="169" fontId="32" fillId="0" borderId="0" xfId="0" applyNumberFormat="1" applyFont="1" applyFill="1" applyBorder="1" applyAlignment="1" applyProtection="1">
      <alignment horizontal="center" vertical="top"/>
    </xf>
    <xf numFmtId="43" fontId="12" fillId="12" borderId="0" xfId="1" applyFont="1" applyFill="1" applyBorder="1" applyAlignment="1" applyProtection="1">
      <alignment horizontal="left" vertical="top"/>
    </xf>
    <xf numFmtId="3" fontId="8" fillId="12" borderId="0" xfId="0" applyNumberFormat="1" applyFont="1" applyFill="1" applyBorder="1" applyAlignment="1" applyProtection="1">
      <alignment horizontal="center" vertical="top"/>
    </xf>
    <xf numFmtId="43" fontId="32" fillId="0" borderId="0" xfId="1" applyFont="1" applyFill="1" applyAlignment="1" applyProtection="1">
      <alignment horizontal="left" vertical="top"/>
    </xf>
    <xf numFmtId="43" fontId="52" fillId="8" borderId="0" xfId="1" applyFont="1" applyFill="1" applyBorder="1" applyAlignment="1" applyProtection="1">
      <alignment horizontal="right" vertical="top"/>
    </xf>
    <xf numFmtId="3" fontId="52" fillId="8" borderId="0" xfId="1" applyNumberFormat="1" applyFont="1" applyFill="1" applyBorder="1" applyAlignment="1" applyProtection="1">
      <alignment horizontal="left" vertical="top"/>
    </xf>
    <xf numFmtId="167" fontId="52" fillId="8" borderId="0" xfId="0" applyNumberFormat="1" applyFont="1" applyFill="1" applyBorder="1" applyAlignment="1" applyProtection="1">
      <alignment horizontal="center" vertical="top"/>
    </xf>
    <xf numFmtId="3" fontId="26" fillId="0" borderId="0" xfId="0" applyNumberFormat="1" applyFont="1" applyFill="1" applyBorder="1" applyAlignment="1" applyProtection="1">
      <alignment horizontal="center" vertical="top"/>
    </xf>
    <xf numFmtId="167" fontId="35" fillId="0" borderId="0" xfId="0" applyNumberFormat="1" applyFont="1" applyFill="1" applyBorder="1" applyAlignment="1" applyProtection="1">
      <alignment horizontal="center" vertical="top"/>
    </xf>
    <xf numFmtId="0" fontId="26" fillId="0" borderId="0" xfId="0" applyFont="1" applyFill="1" applyAlignment="1" applyProtection="1">
      <alignment vertical="top"/>
    </xf>
    <xf numFmtId="167" fontId="35" fillId="0" borderId="0" xfId="0" applyNumberFormat="1" applyFont="1" applyFill="1" applyAlignment="1" applyProtection="1">
      <alignment horizontal="center" vertical="top"/>
    </xf>
    <xf numFmtId="2" fontId="32" fillId="0" borderId="0" xfId="0" applyNumberFormat="1" applyFont="1" applyFill="1" applyAlignment="1" applyProtection="1">
      <alignment vertical="top"/>
    </xf>
    <xf numFmtId="173" fontId="32" fillId="0" borderId="0" xfId="0" applyNumberFormat="1" applyFont="1" applyFill="1" applyAlignment="1" applyProtection="1">
      <alignment vertical="top"/>
    </xf>
    <xf numFmtId="43" fontId="9" fillId="8" borderId="0" xfId="1" applyFont="1" applyFill="1" applyBorder="1" applyAlignment="1" applyProtection="1">
      <alignment horizontal="right" vertical="top"/>
    </xf>
    <xf numFmtId="3" fontId="9" fillId="10" borderId="0" xfId="1" applyNumberFormat="1" applyFont="1" applyFill="1" applyBorder="1" applyAlignment="1" applyProtection="1">
      <alignment horizontal="left" vertical="top"/>
    </xf>
    <xf numFmtId="167" fontId="9" fillId="8" borderId="0" xfId="0" applyNumberFormat="1" applyFont="1" applyFill="1" applyBorder="1" applyAlignment="1" applyProtection="1">
      <alignment horizontal="center" vertical="top"/>
    </xf>
    <xf numFmtId="165" fontId="32" fillId="0" borderId="0" xfId="0" applyNumberFormat="1" applyFont="1" applyFill="1" applyAlignment="1" applyProtection="1">
      <alignment horizontal="center" vertical="top"/>
    </xf>
    <xf numFmtId="167" fontId="33" fillId="0" borderId="0" xfId="0" applyNumberFormat="1" applyFont="1" applyFill="1" applyBorder="1" applyAlignment="1" applyProtection="1">
      <alignment horizontal="center" vertical="top"/>
    </xf>
    <xf numFmtId="165" fontId="9" fillId="10" borderId="0" xfId="1" applyNumberFormat="1" applyFont="1" applyFill="1" applyBorder="1" applyAlignment="1" applyProtection="1">
      <alignment horizontal="left" vertical="top"/>
    </xf>
    <xf numFmtId="165" fontId="52" fillId="8" borderId="0" xfId="1" applyNumberFormat="1" applyFont="1" applyFill="1" applyBorder="1" applyAlignment="1" applyProtection="1">
      <alignment horizontal="left" vertical="top"/>
    </xf>
    <xf numFmtId="165" fontId="9" fillId="9" borderId="0" xfId="1" applyNumberFormat="1" applyFont="1" applyFill="1" applyBorder="1" applyAlignment="1" applyProtection="1">
      <alignment horizontal="left" vertical="top"/>
    </xf>
    <xf numFmtId="43" fontId="26" fillId="0" borderId="0" xfId="1" applyFont="1" applyFill="1" applyBorder="1" applyAlignment="1" applyProtection="1">
      <alignment vertical="top"/>
    </xf>
    <xf numFmtId="167" fontId="32" fillId="0" borderId="0" xfId="0" applyNumberFormat="1" applyFont="1" applyFill="1" applyAlignment="1" applyProtection="1">
      <alignment vertical="top"/>
    </xf>
    <xf numFmtId="0" fontId="52" fillId="8" borderId="0" xfId="0" applyFont="1" applyFill="1" applyBorder="1" applyAlignment="1" applyProtection="1">
      <alignment vertical="top"/>
    </xf>
    <xf numFmtId="3" fontId="26" fillId="0" borderId="0" xfId="1" applyNumberFormat="1" applyFont="1" applyFill="1" applyAlignment="1" applyProtection="1">
      <alignment horizontal="center" vertical="top"/>
    </xf>
    <xf numFmtId="0" fontId="18" fillId="0" borderId="0" xfId="0" applyFont="1" applyAlignment="1" applyProtection="1">
      <alignment vertical="top"/>
    </xf>
    <xf numFmtId="0" fontId="12" fillId="11" borderId="0" xfId="0" applyFont="1" applyFill="1" applyBorder="1" applyAlignment="1" applyProtection="1">
      <alignment vertical="top"/>
    </xf>
    <xf numFmtId="43" fontId="32" fillId="0" borderId="0" xfId="1" applyFont="1" applyFill="1" applyAlignment="1" applyProtection="1">
      <alignment vertical="top"/>
    </xf>
    <xf numFmtId="167" fontId="32" fillId="0" borderId="0" xfId="1" applyNumberFormat="1" applyFont="1" applyFill="1" applyAlignment="1" applyProtection="1">
      <alignment vertical="top"/>
    </xf>
    <xf numFmtId="0" fontId="18" fillId="0" borderId="0" xfId="0" applyFont="1" applyFill="1" applyAlignment="1" applyProtection="1">
      <alignment vertical="top"/>
    </xf>
    <xf numFmtId="0" fontId="3" fillId="0" borderId="0" xfId="0" applyFont="1" applyAlignment="1" applyProtection="1">
      <alignment vertical="top"/>
    </xf>
    <xf numFmtId="167" fontId="9" fillId="8" borderId="0" xfId="1" applyNumberFormat="1" applyFont="1" applyFill="1" applyBorder="1" applyAlignment="1" applyProtection="1">
      <alignment horizontal="center" vertical="top"/>
    </xf>
    <xf numFmtId="0" fontId="71" fillId="8" borderId="0" xfId="0" applyFont="1" applyFill="1" applyBorder="1" applyAlignment="1" applyProtection="1">
      <alignment horizontal="center" vertical="top"/>
    </xf>
    <xf numFmtId="167" fontId="41" fillId="0" borderId="0" xfId="0" applyNumberFormat="1" applyFont="1" applyFill="1" applyBorder="1" applyAlignment="1" applyProtection="1">
      <alignment horizontal="center" vertical="top"/>
    </xf>
    <xf numFmtId="167" fontId="28" fillId="0" borderId="0" xfId="0" applyNumberFormat="1" applyFont="1" applyFill="1" applyAlignment="1" applyProtection="1">
      <alignment vertical="top"/>
    </xf>
    <xf numFmtId="167" fontId="7" fillId="8" borderId="0" xfId="1" applyNumberFormat="1" applyFont="1" applyFill="1" applyBorder="1" applyAlignment="1" applyProtection="1">
      <alignment horizontal="center" vertical="top"/>
    </xf>
    <xf numFmtId="167" fontId="7" fillId="8" borderId="0" xfId="0" applyNumberFormat="1" applyFont="1" applyFill="1" applyBorder="1" applyAlignment="1" applyProtection="1">
      <alignment horizontal="center" vertical="top"/>
    </xf>
    <xf numFmtId="167" fontId="32" fillId="0" borderId="2" xfId="1" applyNumberFormat="1" applyFont="1" applyFill="1" applyBorder="1" applyAlignment="1" applyProtection="1">
      <alignment vertical="top"/>
    </xf>
    <xf numFmtId="166" fontId="9" fillId="9" borderId="0" xfId="1" applyNumberFormat="1" applyFont="1" applyFill="1" applyBorder="1" applyAlignment="1" applyProtection="1">
      <alignment horizontal="left" vertical="top"/>
    </xf>
    <xf numFmtId="167" fontId="15" fillId="8" borderId="0" xfId="0" applyNumberFormat="1" applyFont="1" applyFill="1" applyBorder="1" applyAlignment="1" applyProtection="1">
      <alignment horizontal="center" vertical="top"/>
    </xf>
    <xf numFmtId="43" fontId="28" fillId="0" borderId="0" xfId="1" applyFont="1" applyFill="1" applyAlignment="1" applyProtection="1">
      <alignment vertical="top"/>
    </xf>
    <xf numFmtId="167" fontId="28" fillId="0" borderId="0" xfId="1" applyNumberFormat="1" applyFont="1" applyFill="1" applyBorder="1" applyAlignment="1" applyProtection="1">
      <alignment vertical="top"/>
    </xf>
    <xf numFmtId="0" fontId="19" fillId="0" borderId="0" xfId="0" applyFont="1" applyFill="1" applyAlignment="1" applyProtection="1">
      <alignment vertical="top"/>
    </xf>
    <xf numFmtId="43" fontId="14" fillId="8" borderId="0" xfId="1" applyFont="1" applyFill="1" applyBorder="1" applyAlignment="1" applyProtection="1">
      <alignment vertical="top"/>
    </xf>
    <xf numFmtId="167" fontId="51" fillId="12" borderId="0" xfId="1" applyNumberFormat="1" applyFont="1" applyFill="1" applyBorder="1" applyAlignment="1" applyProtection="1">
      <alignment horizontal="center" vertical="top"/>
    </xf>
    <xf numFmtId="0" fontId="51" fillId="12" borderId="0" xfId="0" applyFont="1" applyFill="1" applyBorder="1" applyAlignment="1" applyProtection="1">
      <alignment horizontal="center" vertical="top"/>
    </xf>
    <xf numFmtId="167" fontId="38" fillId="0" borderId="0" xfId="0" applyNumberFormat="1" applyFont="1" applyFill="1" applyBorder="1" applyAlignment="1" applyProtection="1">
      <alignment horizontal="center" vertical="top"/>
    </xf>
    <xf numFmtId="43" fontId="33" fillId="0" borderId="6" xfId="1" applyFont="1" applyFill="1" applyBorder="1" applyAlignment="1" applyProtection="1">
      <alignment vertical="top"/>
    </xf>
    <xf numFmtId="167" fontId="28" fillId="0" borderId="6" xfId="0" applyNumberFormat="1" applyFont="1" applyFill="1" applyBorder="1" applyAlignment="1" applyProtection="1">
      <alignment vertical="top"/>
    </xf>
    <xf numFmtId="0" fontId="34" fillId="0" borderId="0" xfId="0" applyFont="1" applyFill="1" applyAlignment="1" applyProtection="1">
      <alignment vertical="top"/>
    </xf>
    <xf numFmtId="0" fontId="33" fillId="0" borderId="0" xfId="0" applyFont="1" applyFill="1" applyAlignment="1" applyProtection="1">
      <alignment horizontal="center" vertical="top"/>
    </xf>
    <xf numFmtId="0" fontId="19" fillId="0" borderId="0" xfId="0" applyFont="1" applyAlignment="1" applyProtection="1">
      <alignment vertical="top"/>
    </xf>
    <xf numFmtId="0" fontId="2" fillId="0" borderId="0" xfId="0" applyFont="1" applyAlignment="1" applyProtection="1">
      <alignment vertical="top"/>
    </xf>
    <xf numFmtId="0" fontId="36" fillId="0" borderId="0" xfId="0" applyFont="1" applyFill="1" applyAlignment="1" applyProtection="1">
      <alignment horizontal="center" vertical="top"/>
    </xf>
    <xf numFmtId="43" fontId="32" fillId="0" borderId="6" xfId="1" applyFont="1" applyFill="1" applyBorder="1" applyAlignment="1" applyProtection="1">
      <alignment vertical="top"/>
    </xf>
    <xf numFmtId="167" fontId="32" fillId="0" borderId="6" xfId="0" applyNumberFormat="1" applyFont="1" applyFill="1" applyBorder="1" applyAlignment="1" applyProtection="1">
      <alignment vertical="top"/>
    </xf>
    <xf numFmtId="167" fontId="52" fillId="8" borderId="0" xfId="1" applyNumberFormat="1" applyFont="1" applyFill="1" applyBorder="1" applyAlignment="1" applyProtection="1">
      <alignment horizontal="center" vertical="top"/>
    </xf>
    <xf numFmtId="167" fontId="32" fillId="0" borderId="0" xfId="0" applyNumberFormat="1" applyFont="1" applyFill="1" applyBorder="1" applyAlignment="1" applyProtection="1">
      <alignment vertical="top"/>
    </xf>
    <xf numFmtId="43" fontId="26" fillId="0" borderId="0" xfId="1" applyFont="1" applyFill="1" applyAlignment="1" applyProtection="1">
      <alignment vertical="top"/>
    </xf>
    <xf numFmtId="43" fontId="26" fillId="0" borderId="0" xfId="1" applyFont="1" applyFill="1" applyAlignment="1" applyProtection="1">
      <alignment horizontal="center" vertical="top"/>
    </xf>
    <xf numFmtId="0" fontId="32" fillId="0" borderId="0" xfId="0" applyFont="1" applyFill="1" applyBorder="1" applyAlignment="1" applyProtection="1">
      <alignment vertical="top"/>
    </xf>
    <xf numFmtId="4" fontId="32" fillId="0" borderId="0" xfId="0" applyNumberFormat="1" applyFont="1" applyFill="1" applyBorder="1" applyAlignment="1" applyProtection="1">
      <alignment vertical="top"/>
    </xf>
    <xf numFmtId="167" fontId="8" fillId="12" borderId="0" xfId="0" applyNumberFormat="1" applyFont="1" applyFill="1" applyBorder="1" applyAlignment="1" applyProtection="1">
      <alignment horizontal="center" vertical="top"/>
    </xf>
    <xf numFmtId="0" fontId="14" fillId="8" borderId="0" xfId="0" applyFont="1" applyFill="1" applyBorder="1" applyAlignment="1" applyProtection="1">
      <alignment horizontal="center" vertical="top"/>
    </xf>
    <xf numFmtId="167" fontId="14" fillId="8" borderId="0" xfId="0" applyNumberFormat="1" applyFont="1" applyFill="1" applyBorder="1" applyAlignment="1" applyProtection="1">
      <alignment horizontal="center" vertical="top"/>
    </xf>
    <xf numFmtId="0" fontId="70" fillId="8" borderId="0" xfId="0" applyFont="1" applyFill="1" applyBorder="1" applyAlignment="1" applyProtection="1">
      <alignment horizontal="center" vertical="top"/>
    </xf>
    <xf numFmtId="167" fontId="32" fillId="0" borderId="0" xfId="0" applyNumberFormat="1" applyFont="1" applyFill="1" applyAlignment="1" applyProtection="1">
      <alignment horizontal="right" vertical="top"/>
    </xf>
    <xf numFmtId="167" fontId="28" fillId="0" borderId="6" xfId="1" applyNumberFormat="1" applyFont="1" applyFill="1" applyBorder="1" applyAlignment="1" applyProtection="1">
      <alignment vertical="top"/>
    </xf>
    <xf numFmtId="0" fontId="9" fillId="0" borderId="0" xfId="0" applyFont="1" applyFill="1" applyAlignment="1" applyProtection="1">
      <alignment horizontal="center" vertical="top"/>
    </xf>
    <xf numFmtId="0" fontId="9" fillId="0" borderId="0" xfId="0" applyFont="1" applyAlignment="1" applyProtection="1">
      <alignment horizontal="center" vertical="top"/>
    </xf>
    <xf numFmtId="0" fontId="12" fillId="0" borderId="0" xfId="0" applyFont="1" applyFill="1" applyAlignment="1" applyProtection="1">
      <alignment horizontal="center" vertical="top"/>
    </xf>
    <xf numFmtId="0" fontId="21" fillId="0" borderId="0" xfId="0" applyFont="1" applyFill="1" applyAlignment="1" applyProtection="1">
      <alignment horizontal="center" vertical="top"/>
    </xf>
    <xf numFmtId="0" fontId="21" fillId="0" borderId="0" xfId="0" applyFont="1" applyAlignment="1" applyProtection="1">
      <alignment horizontal="center" vertical="top"/>
    </xf>
    <xf numFmtId="0" fontId="12" fillId="0" borderId="0" xfId="0" applyFont="1" applyAlignment="1" applyProtection="1">
      <alignment horizontal="center" vertical="top"/>
    </xf>
    <xf numFmtId="0" fontId="23" fillId="0" borderId="0" xfId="0" applyFont="1" applyFill="1" applyAlignment="1" applyProtection="1">
      <alignment horizontal="center" vertical="top"/>
    </xf>
    <xf numFmtId="0" fontId="23" fillId="0" borderId="0" xfId="0" applyFont="1" applyAlignment="1" applyProtection="1">
      <alignment horizontal="center" vertical="top"/>
    </xf>
    <xf numFmtId="0" fontId="12" fillId="0" borderId="0" xfId="0" applyFont="1" applyAlignment="1" applyProtection="1">
      <alignment horizontal="center" vertical="top"/>
      <protection locked="0"/>
    </xf>
    <xf numFmtId="0" fontId="23" fillId="0" borderId="0" xfId="0" applyFont="1" applyAlignment="1" applyProtection="1">
      <alignment horizontal="center" vertical="top"/>
      <protection locked="0"/>
    </xf>
    <xf numFmtId="0" fontId="0" fillId="0" borderId="0" xfId="0" applyAlignment="1" applyProtection="1">
      <alignment vertical="top"/>
      <protection locked="0"/>
    </xf>
    <xf numFmtId="0" fontId="20" fillId="0" borderId="0" xfId="0" applyFont="1" applyAlignment="1" applyProtection="1">
      <alignment vertical="top"/>
      <protection locked="0"/>
    </xf>
    <xf numFmtId="1" fontId="32" fillId="0" borderId="0" xfId="1" applyNumberFormat="1" applyFont="1" applyFill="1" applyBorder="1" applyAlignment="1" applyProtection="1">
      <alignment horizontal="center" vertical="top"/>
    </xf>
    <xf numFmtId="0" fontId="36" fillId="0" borderId="0" xfId="0" applyFont="1" applyFill="1" applyAlignment="1" applyProtection="1">
      <alignment horizontal="left" vertical="top"/>
    </xf>
    <xf numFmtId="0" fontId="24" fillId="0" borderId="0" xfId="0" applyFont="1" applyFill="1" applyAlignment="1" applyProtection="1">
      <alignment vertical="top"/>
    </xf>
    <xf numFmtId="3" fontId="32" fillId="0" borderId="0" xfId="0" applyNumberFormat="1" applyFont="1" applyFill="1" applyAlignment="1" applyProtection="1">
      <alignment vertical="top"/>
    </xf>
    <xf numFmtId="3" fontId="26" fillId="0" borderId="0" xfId="0" applyNumberFormat="1" applyFont="1" applyFill="1" applyAlignment="1" applyProtection="1">
      <alignment vertical="top"/>
    </xf>
    <xf numFmtId="0" fontId="3" fillId="0" borderId="0" xfId="0" applyFont="1" applyFill="1" applyAlignment="1" applyProtection="1">
      <alignment vertical="top"/>
    </xf>
    <xf numFmtId="43" fontId="12" fillId="12" borderId="0" xfId="1" applyFont="1" applyFill="1" applyBorder="1" applyAlignment="1" applyProtection="1">
      <alignment horizontal="center" vertical="top"/>
    </xf>
    <xf numFmtId="0" fontId="12" fillId="11" borderId="0" xfId="0" applyFont="1" applyFill="1" applyBorder="1" applyAlignment="1" applyProtection="1">
      <alignment horizontal="center" vertical="top"/>
    </xf>
    <xf numFmtId="167" fontId="70" fillId="12" borderId="0" xfId="0" applyNumberFormat="1" applyFont="1" applyFill="1" applyBorder="1" applyAlignment="1" applyProtection="1">
      <alignment horizontal="center" vertical="top"/>
    </xf>
    <xf numFmtId="0" fontId="12" fillId="12" borderId="0" xfId="0" applyFont="1" applyFill="1" applyBorder="1" applyAlignment="1" applyProtection="1">
      <alignment horizontal="center" vertical="top"/>
    </xf>
    <xf numFmtId="1" fontId="9" fillId="12" borderId="10" xfId="1" applyNumberFormat="1" applyFont="1" applyFill="1" applyBorder="1" applyAlignment="1" applyProtection="1">
      <alignment horizontal="center" vertical="top"/>
    </xf>
    <xf numFmtId="1" fontId="9" fillId="12" borderId="0" xfId="1" applyNumberFormat="1" applyFont="1" applyFill="1" applyAlignment="1" applyProtection="1">
      <alignment horizontal="center" vertical="top"/>
    </xf>
    <xf numFmtId="43" fontId="9" fillId="12" borderId="0" xfId="1" applyFont="1" applyFill="1" applyBorder="1" applyAlignment="1" applyProtection="1">
      <alignment vertical="top"/>
    </xf>
    <xf numFmtId="43" fontId="9" fillId="12" borderId="0" xfId="1" applyFont="1" applyFill="1" applyBorder="1" applyAlignment="1" applyProtection="1">
      <alignment horizontal="center" vertical="top" wrapText="1"/>
    </xf>
    <xf numFmtId="3" fontId="65" fillId="12" borderId="0" xfId="0" applyNumberFormat="1" applyFont="1" applyFill="1" applyAlignment="1" applyProtection="1">
      <alignment horizontal="center" vertical="top"/>
    </xf>
    <xf numFmtId="1" fontId="70" fillId="8" borderId="12" xfId="0" applyNumberFormat="1" applyFont="1" applyFill="1" applyBorder="1" applyAlignment="1" applyProtection="1">
      <alignment horizontal="left" vertical="top"/>
    </xf>
    <xf numFmtId="1" fontId="71" fillId="8" borderId="12" xfId="0" applyNumberFormat="1" applyFont="1" applyFill="1" applyBorder="1" applyAlignment="1" applyProtection="1">
      <alignment horizontal="center" vertical="top"/>
    </xf>
    <xf numFmtId="0" fontId="71" fillId="8" borderId="12" xfId="0" applyFont="1" applyFill="1" applyBorder="1" applyAlignment="1" applyProtection="1">
      <alignment vertical="top"/>
    </xf>
    <xf numFmtId="0" fontId="52" fillId="8" borderId="12" xfId="0" applyFont="1" applyFill="1" applyBorder="1" applyAlignment="1" applyProtection="1">
      <alignment horizontal="center" vertical="top"/>
    </xf>
    <xf numFmtId="1" fontId="70" fillId="8" borderId="0" xfId="0" applyNumberFormat="1" applyFont="1" applyFill="1" applyAlignment="1" applyProtection="1">
      <alignment horizontal="left" vertical="top"/>
    </xf>
    <xf numFmtId="1" fontId="71" fillId="8" borderId="0" xfId="0" applyNumberFormat="1" applyFont="1" applyFill="1" applyAlignment="1" applyProtection="1">
      <alignment horizontal="center" vertical="top"/>
    </xf>
    <xf numFmtId="0" fontId="71" fillId="8" borderId="0" xfId="0" applyFont="1" applyFill="1" applyAlignment="1" applyProtection="1">
      <alignment vertical="top"/>
    </xf>
    <xf numFmtId="0" fontId="52" fillId="8" borderId="0" xfId="0" applyFont="1" applyFill="1" applyAlignment="1" applyProtection="1">
      <alignment horizontal="center" vertical="top"/>
    </xf>
    <xf numFmtId="1" fontId="52" fillId="8" borderId="0" xfId="0" applyNumberFormat="1" applyFont="1" applyFill="1" applyAlignment="1" applyProtection="1">
      <alignment horizontal="center" vertical="top"/>
    </xf>
    <xf numFmtId="0" fontId="52" fillId="8" borderId="0" xfId="0" applyFont="1" applyFill="1" applyAlignment="1" applyProtection="1">
      <alignment vertical="top"/>
    </xf>
    <xf numFmtId="1" fontId="9" fillId="8" borderId="10" xfId="1" applyNumberFormat="1" applyFont="1" applyFill="1" applyBorder="1" applyAlignment="1" applyProtection="1">
      <alignment vertical="top"/>
    </xf>
    <xf numFmtId="1" fontId="39" fillId="8" borderId="0" xfId="0" applyNumberFormat="1" applyFont="1" applyFill="1" applyAlignment="1" applyProtection="1">
      <alignment horizontal="center" vertical="top"/>
    </xf>
    <xf numFmtId="167" fontId="52" fillId="8" borderId="0" xfId="0" applyNumberFormat="1" applyFont="1" applyFill="1" applyAlignment="1" applyProtection="1">
      <alignment horizontal="center" vertical="top"/>
    </xf>
    <xf numFmtId="165" fontId="52" fillId="8" borderId="0" xfId="1" applyNumberFormat="1" applyFont="1" applyFill="1" applyBorder="1" applyAlignment="1" applyProtection="1">
      <alignment horizontal="center" vertical="top"/>
    </xf>
    <xf numFmtId="1" fontId="52" fillId="8" borderId="10" xfId="1" applyNumberFormat="1" applyFont="1" applyFill="1" applyBorder="1" applyAlignment="1" applyProtection="1">
      <alignment horizontal="center" vertical="top"/>
    </xf>
    <xf numFmtId="0" fontId="70" fillId="8" borderId="0" xfId="0" applyFont="1" applyFill="1" applyBorder="1" applyProtection="1"/>
    <xf numFmtId="1" fontId="52" fillId="8" borderId="0" xfId="1" applyNumberFormat="1" applyFont="1" applyFill="1" applyBorder="1" applyAlignment="1" applyProtection="1">
      <alignment horizontal="center" vertical="top"/>
    </xf>
    <xf numFmtId="1" fontId="12" fillId="11" borderId="0" xfId="1" applyNumberFormat="1" applyFont="1" applyFill="1" applyBorder="1" applyAlignment="1" applyProtection="1">
      <alignment horizontal="center" vertical="top"/>
    </xf>
    <xf numFmtId="0" fontId="7" fillId="8" borderId="1" xfId="0" applyFont="1" applyFill="1" applyBorder="1" applyProtection="1"/>
    <xf numFmtId="43" fontId="15" fillId="13" borderId="0" xfId="1" applyFont="1" applyFill="1" applyBorder="1" applyAlignment="1" applyProtection="1">
      <alignment horizontal="center" vertical="top"/>
      <protection locked="0"/>
    </xf>
    <xf numFmtId="168" fontId="15" fillId="13" borderId="0" xfId="1" applyNumberFormat="1" applyFont="1" applyFill="1" applyBorder="1" applyAlignment="1" applyProtection="1">
      <alignment horizontal="center" vertical="top"/>
      <protection locked="0"/>
    </xf>
    <xf numFmtId="3" fontId="15" fillId="13" borderId="0" xfId="1" applyNumberFormat="1" applyFont="1" applyFill="1" applyBorder="1" applyAlignment="1" applyProtection="1">
      <alignment horizontal="center" vertical="top"/>
      <protection locked="0"/>
    </xf>
    <xf numFmtId="164" fontId="15" fillId="13" borderId="0" xfId="1" applyNumberFormat="1" applyFont="1" applyFill="1" applyBorder="1" applyAlignment="1" applyProtection="1">
      <alignment horizontal="center" vertical="top"/>
      <protection locked="0"/>
    </xf>
    <xf numFmtId="43" fontId="52" fillId="8" borderId="4" xfId="1" applyFont="1" applyFill="1" applyBorder="1" applyAlignment="1" applyProtection="1">
      <alignment horizontal="left" vertical="top"/>
    </xf>
    <xf numFmtId="165" fontId="52" fillId="10" borderId="4" xfId="1" applyNumberFormat="1" applyFont="1" applyFill="1" applyBorder="1" applyAlignment="1" applyProtection="1">
      <alignment horizontal="left" vertical="top"/>
    </xf>
    <xf numFmtId="0" fontId="52" fillId="8" borderId="4" xfId="0" applyFont="1" applyFill="1" applyBorder="1" applyAlignment="1" applyProtection="1">
      <alignment horizontal="left" vertical="top"/>
    </xf>
    <xf numFmtId="43" fontId="9" fillId="8" borderId="4" xfId="1" applyFont="1" applyFill="1" applyBorder="1" applyAlignment="1" applyProtection="1">
      <alignment horizontal="left" vertical="top"/>
    </xf>
    <xf numFmtId="165" fontId="9" fillId="9" borderId="4" xfId="1" applyNumberFormat="1" applyFont="1" applyFill="1" applyBorder="1" applyAlignment="1" applyProtection="1">
      <alignment horizontal="left" vertical="top"/>
    </xf>
    <xf numFmtId="165" fontId="15" fillId="13" borderId="4" xfId="0" applyNumberFormat="1" applyFont="1" applyFill="1" applyBorder="1" applyAlignment="1" applyProtection="1">
      <alignment horizontal="center" vertical="top"/>
      <protection locked="0"/>
    </xf>
    <xf numFmtId="1" fontId="76" fillId="8" borderId="0" xfId="1" applyNumberFormat="1" applyFont="1" applyFill="1" applyBorder="1" applyAlignment="1" applyProtection="1">
      <alignment horizontal="center" vertical="top"/>
    </xf>
    <xf numFmtId="169" fontId="52" fillId="7" borderId="0" xfId="0" applyNumberFormat="1" applyFont="1" applyFill="1" applyBorder="1" applyAlignment="1" applyProtection="1">
      <alignment horizontal="center" vertical="top"/>
    </xf>
    <xf numFmtId="0" fontId="52" fillId="7" borderId="0" xfId="0" applyFont="1" applyFill="1" applyBorder="1" applyAlignment="1" applyProtection="1">
      <alignment horizontal="center" vertical="top"/>
    </xf>
    <xf numFmtId="0" fontId="14" fillId="7" borderId="0" xfId="0" applyFont="1" applyFill="1" applyBorder="1" applyAlignment="1" applyProtection="1">
      <alignment horizontal="left" vertical="top"/>
    </xf>
    <xf numFmtId="0" fontId="61" fillId="7" borderId="0" xfId="0" applyFont="1" applyFill="1" applyBorder="1" applyAlignment="1" applyProtection="1">
      <alignment horizontal="left" vertical="top"/>
    </xf>
    <xf numFmtId="0" fontId="64" fillId="7" borderId="0" xfId="2" applyFont="1" applyFill="1" applyBorder="1" applyAlignment="1" applyProtection="1">
      <alignment horizontal="left" vertical="top"/>
    </xf>
    <xf numFmtId="0" fontId="60" fillId="7" borderId="0" xfId="0" applyFont="1" applyFill="1" applyBorder="1" applyAlignment="1" applyProtection="1">
      <alignment horizontal="left" vertical="top"/>
    </xf>
    <xf numFmtId="3" fontId="52" fillId="7" borderId="0" xfId="0" applyNumberFormat="1" applyFont="1" applyFill="1" applyBorder="1" applyAlignment="1" applyProtection="1">
      <alignment horizontal="center" vertical="top"/>
    </xf>
    <xf numFmtId="164" fontId="15" fillId="7" borderId="0" xfId="1" applyNumberFormat="1" applyFont="1" applyFill="1" applyBorder="1" applyAlignment="1" applyProtection="1">
      <alignment horizontal="center" vertical="top"/>
    </xf>
    <xf numFmtId="1" fontId="9" fillId="8" borderId="0" xfId="1" applyNumberFormat="1" applyFont="1" applyFill="1" applyBorder="1" applyAlignment="1" applyProtection="1">
      <alignment horizontal="right" vertical="top"/>
    </xf>
    <xf numFmtId="1" fontId="9" fillId="8" borderId="0" xfId="0" applyNumberFormat="1" applyFont="1" applyFill="1" applyBorder="1" applyAlignment="1" applyProtection="1">
      <alignment horizontal="right" vertical="top"/>
    </xf>
    <xf numFmtId="49" fontId="15" fillId="13" borderId="0" xfId="1" applyNumberFormat="1" applyFont="1" applyFill="1" applyBorder="1" applyAlignment="1" applyProtection="1">
      <alignment horizontal="left" vertical="top"/>
      <protection locked="0"/>
    </xf>
    <xf numFmtId="49" fontId="15" fillId="13" borderId="0" xfId="2" applyNumberFormat="1" applyFont="1" applyFill="1" applyBorder="1" applyAlignment="1" applyProtection="1">
      <alignment horizontal="left" vertical="top"/>
      <protection locked="0"/>
    </xf>
    <xf numFmtId="170" fontId="15" fillId="13" borderId="0" xfId="0" applyNumberFormat="1" applyFont="1" applyFill="1" applyBorder="1" applyAlignment="1" applyProtection="1">
      <alignment horizontal="left" vertical="top"/>
      <protection locked="0"/>
    </xf>
    <xf numFmtId="49" fontId="10" fillId="13" borderId="0" xfId="1" applyNumberFormat="1" applyFont="1" applyFill="1" applyBorder="1" applyAlignment="1" applyProtection="1">
      <alignment horizontal="left" vertical="top"/>
      <protection locked="0"/>
    </xf>
    <xf numFmtId="49" fontId="15" fillId="13" borderId="0" xfId="0" applyNumberFormat="1" applyFont="1" applyFill="1" applyBorder="1" applyAlignment="1" applyProtection="1">
      <alignment horizontal="left" vertical="top"/>
      <protection locked="0"/>
    </xf>
    <xf numFmtId="0" fontId="1" fillId="0" borderId="0" xfId="0" applyFont="1" applyProtection="1"/>
    <xf numFmtId="0" fontId="58" fillId="7" borderId="4" xfId="0" applyFont="1" applyFill="1" applyBorder="1" applyAlignment="1">
      <alignment horizontal="left" vertical="top"/>
    </xf>
    <xf numFmtId="0" fontId="57" fillId="8" borderId="4" xfId="0" applyFont="1" applyFill="1" applyBorder="1" applyAlignment="1">
      <alignment vertical="top" wrapText="1"/>
    </xf>
    <xf numFmtId="43" fontId="58" fillId="7" borderId="4" xfId="1" applyFont="1" applyFill="1" applyBorder="1" applyAlignment="1" applyProtection="1">
      <alignment horizontal="left" vertical="top"/>
    </xf>
    <xf numFmtId="0" fontId="9" fillId="0" borderId="0" xfId="0" applyFont="1" applyAlignment="1" applyProtection="1">
      <alignment horizontal="left"/>
      <protection hidden="1"/>
    </xf>
    <xf numFmtId="0" fontId="67" fillId="8" borderId="0" xfId="0" applyFont="1" applyFill="1"/>
    <xf numFmtId="0" fontId="58" fillId="8" borderId="0" xfId="0" applyFont="1" applyFill="1"/>
    <xf numFmtId="0" fontId="57" fillId="8" borderId="0" xfId="0" applyFont="1" applyFill="1"/>
    <xf numFmtId="0" fontId="57" fillId="8" borderId="0" xfId="0" applyFont="1" applyFill="1" applyAlignment="1">
      <alignment horizontal="left" indent="5"/>
    </xf>
    <xf numFmtId="0" fontId="73" fillId="8" borderId="0" xfId="0" applyFont="1" applyFill="1" applyAlignment="1">
      <alignment horizontal="left" indent="5"/>
    </xf>
    <xf numFmtId="0" fontId="66" fillId="8" borderId="0" xfId="0" applyFont="1" applyFill="1"/>
    <xf numFmtId="0" fontId="57" fillId="8" borderId="0" xfId="0" applyFont="1" applyFill="1" applyAlignment="1">
      <alignment wrapText="1"/>
    </xf>
    <xf numFmtId="0" fontId="58" fillId="8" borderId="0" xfId="0" applyFont="1" applyFill="1" applyAlignment="1">
      <alignment horizontal="left"/>
    </xf>
    <xf numFmtId="0" fontId="58" fillId="8" borderId="0" xfId="0" applyFont="1" applyFill="1" applyAlignment="1">
      <alignment horizontal="left" indent="5"/>
    </xf>
    <xf numFmtId="1" fontId="9" fillId="8" borderId="0" xfId="1" applyNumberFormat="1" applyFont="1" applyFill="1" applyBorder="1" applyAlignment="1" applyProtection="1">
      <alignment horizontal="left" vertical="top"/>
    </xf>
    <xf numFmtId="0" fontId="62" fillId="8" borderId="0" xfId="0" applyFont="1" applyFill="1" applyBorder="1" applyAlignment="1" applyProtection="1">
      <alignment horizontal="left"/>
    </xf>
    <xf numFmtId="0" fontId="79" fillId="7" borderId="0" xfId="0" applyFont="1" applyFill="1" applyBorder="1" applyAlignment="1" applyProtection="1">
      <alignment horizontal="center"/>
    </xf>
    <xf numFmtId="0" fontId="70" fillId="8" borderId="0" xfId="0" applyFont="1" applyFill="1" applyBorder="1" applyAlignment="1" applyProtection="1">
      <alignment horizontal="center"/>
    </xf>
    <xf numFmtId="169" fontId="15" fillId="13" borderId="0" xfId="0" applyNumberFormat="1" applyFont="1" applyFill="1" applyBorder="1" applyAlignment="1" applyProtection="1">
      <alignment horizontal="center" vertical="top"/>
      <protection locked="0"/>
    </xf>
    <xf numFmtId="0" fontId="52" fillId="13" borderId="0" xfId="0" applyFont="1" applyFill="1" applyBorder="1" applyAlignment="1" applyProtection="1">
      <alignment horizontal="center"/>
      <protection locked="0"/>
    </xf>
    <xf numFmtId="0" fontId="7" fillId="13" borderId="0" xfId="0" applyFont="1" applyFill="1" applyBorder="1" applyAlignment="1" applyProtection="1">
      <alignment horizontal="center"/>
      <protection locked="0"/>
    </xf>
    <xf numFmtId="0" fontId="52" fillId="7" borderId="0" xfId="0" applyFont="1" applyFill="1" applyBorder="1" applyAlignment="1" applyProtection="1">
      <alignment horizontal="center"/>
    </xf>
    <xf numFmtId="164" fontId="52" fillId="13" borderId="0" xfId="1" applyNumberFormat="1" applyFont="1" applyFill="1" applyBorder="1" applyAlignment="1" applyProtection="1">
      <alignment horizontal="left" vertical="top"/>
      <protection locked="0"/>
    </xf>
    <xf numFmtId="0" fontId="10" fillId="8" borderId="11" xfId="0" applyFont="1" applyFill="1" applyBorder="1" applyAlignment="1" applyProtection="1">
      <alignment horizontal="left" vertical="top" wrapText="1"/>
      <protection locked="0"/>
    </xf>
    <xf numFmtId="0" fontId="12" fillId="11" borderId="0" xfId="0" applyFont="1" applyFill="1" applyBorder="1" applyAlignment="1" applyProtection="1">
      <alignment horizontal="left" vertical="top"/>
    </xf>
    <xf numFmtId="167" fontId="9" fillId="11" borderId="0" xfId="0" applyNumberFormat="1" applyFont="1" applyFill="1" applyBorder="1" applyAlignment="1" applyProtection="1">
      <alignment horizontal="center" vertical="top"/>
    </xf>
    <xf numFmtId="167" fontId="75" fillId="7" borderId="0" xfId="0" applyNumberFormat="1" applyFont="1" applyFill="1" applyBorder="1" applyAlignment="1" applyProtection="1">
      <alignment horizontal="center" vertical="top" wrapText="1"/>
    </xf>
    <xf numFmtId="167" fontId="58" fillId="7" borderId="0" xfId="0" applyNumberFormat="1" applyFont="1" applyFill="1" applyBorder="1" applyAlignment="1" applyProtection="1">
      <alignment horizontal="center" vertical="top" wrapText="1"/>
    </xf>
    <xf numFmtId="0" fontId="9" fillId="7" borderId="0" xfId="0" applyFont="1" applyFill="1" applyBorder="1" applyAlignment="1" applyProtection="1">
      <alignment horizontal="left" vertical="top" wrapText="1"/>
    </xf>
    <xf numFmtId="167" fontId="9" fillId="7" borderId="0" xfId="0" applyNumberFormat="1" applyFont="1" applyFill="1" applyBorder="1" applyAlignment="1" applyProtection="1">
      <alignment horizontal="center" vertical="top" wrapText="1"/>
    </xf>
    <xf numFmtId="0" fontId="9" fillId="7" borderId="0" xfId="0" applyFont="1" applyFill="1" applyBorder="1" applyAlignment="1" applyProtection="1">
      <alignment horizontal="center" vertical="top" wrapText="1"/>
    </xf>
    <xf numFmtId="165" fontId="52" fillId="8" borderId="0" xfId="1" applyNumberFormat="1" applyFont="1" applyFill="1" applyBorder="1" applyAlignment="1" applyProtection="1">
      <alignment horizontal="right" vertical="top"/>
    </xf>
    <xf numFmtId="174" fontId="52" fillId="8" borderId="0" xfId="1" applyNumberFormat="1" applyFont="1" applyFill="1" applyBorder="1" applyAlignment="1" applyProtection="1">
      <alignment horizontal="right" vertical="top"/>
    </xf>
    <xf numFmtId="167" fontId="52" fillId="8" borderId="0" xfId="0" applyNumberFormat="1" applyFont="1" applyFill="1" applyBorder="1" applyAlignment="1" applyProtection="1">
      <alignment horizontal="right" vertical="top"/>
    </xf>
    <xf numFmtId="0" fontId="9" fillId="8" borderId="4" xfId="1" applyNumberFormat="1" applyFont="1" applyFill="1" applyBorder="1" applyAlignment="1" applyProtection="1">
      <alignment horizontal="left" vertical="top"/>
    </xf>
    <xf numFmtId="165" fontId="9" fillId="9" borderId="4" xfId="0" applyNumberFormat="1" applyFont="1" applyFill="1" applyBorder="1" applyAlignment="1" applyProtection="1">
      <alignment horizontal="center" vertical="top"/>
    </xf>
    <xf numFmtId="0" fontId="12" fillId="12" borderId="0" xfId="0" applyFont="1" applyFill="1" applyBorder="1" applyAlignment="1" applyProtection="1">
      <alignment vertical="top"/>
    </xf>
    <xf numFmtId="0" fontId="52" fillId="12" borderId="0" xfId="0" applyFont="1" applyFill="1" applyBorder="1" applyAlignment="1" applyProtection="1">
      <alignment horizontal="center" vertical="top"/>
    </xf>
    <xf numFmtId="0" fontId="70" fillId="8" borderId="0" xfId="0" applyFont="1" applyFill="1" applyBorder="1" applyAlignment="1" applyProtection="1">
      <alignment vertical="top"/>
    </xf>
    <xf numFmtId="167" fontId="70" fillId="8" borderId="0" xfId="0" applyNumberFormat="1" applyFont="1" applyFill="1" applyBorder="1" applyAlignment="1" applyProtection="1">
      <alignment horizontal="center" vertical="top"/>
    </xf>
    <xf numFmtId="1" fontId="12" fillId="12" borderId="0" xfId="0" applyNumberFormat="1" applyFont="1" applyFill="1" applyBorder="1" applyAlignment="1" applyProtection="1">
      <alignment vertical="top"/>
    </xf>
    <xf numFmtId="1" fontId="17" fillId="12" borderId="0" xfId="0" applyNumberFormat="1" applyFont="1" applyFill="1" applyBorder="1" applyAlignment="1" applyProtection="1">
      <alignment vertical="top"/>
    </xf>
    <xf numFmtId="175" fontId="52" fillId="8" borderId="0" xfId="0" applyNumberFormat="1" applyFont="1" applyFill="1" applyBorder="1" applyAlignment="1" applyProtection="1">
      <alignment horizontal="right" vertical="top"/>
    </xf>
    <xf numFmtId="43" fontId="52" fillId="8" borderId="0" xfId="1" applyFont="1" applyFill="1" applyBorder="1" applyAlignment="1" applyProtection="1">
      <alignment vertical="top"/>
    </xf>
    <xf numFmtId="0" fontId="10" fillId="8" borderId="0" xfId="0" applyFont="1" applyFill="1" applyBorder="1" applyAlignment="1" applyProtection="1">
      <alignment vertical="top"/>
    </xf>
    <xf numFmtId="0" fontId="52" fillId="8" borderId="0" xfId="0" applyFont="1" applyFill="1" applyAlignment="1" applyProtection="1">
      <alignment horizontal="left" vertical="top"/>
    </xf>
    <xf numFmtId="43" fontId="15" fillId="8" borderId="0" xfId="1" applyFont="1" applyFill="1" applyBorder="1" applyAlignment="1" applyProtection="1">
      <alignment horizontal="center" vertical="top"/>
    </xf>
    <xf numFmtId="0" fontId="10" fillId="8" borderId="0" xfId="0" applyFont="1" applyFill="1" applyAlignment="1" applyProtection="1">
      <alignment horizontal="left" vertical="top"/>
    </xf>
    <xf numFmtId="170" fontId="52" fillId="7" borderId="0" xfId="0" applyNumberFormat="1" applyFont="1" applyFill="1" applyBorder="1" applyAlignment="1" applyProtection="1">
      <alignment horizontal="center" vertical="top"/>
    </xf>
    <xf numFmtId="1" fontId="52" fillId="7" borderId="0" xfId="0" applyNumberFormat="1" applyFont="1" applyFill="1" applyBorder="1" applyAlignment="1" applyProtection="1">
      <alignment horizontal="center" vertical="top"/>
    </xf>
    <xf numFmtId="0" fontId="52" fillId="7" borderId="0" xfId="0" applyFont="1" applyFill="1" applyBorder="1" applyAlignment="1" applyProtection="1">
      <alignment vertical="top"/>
    </xf>
    <xf numFmtId="0" fontId="52" fillId="7" borderId="0" xfId="0" applyFont="1" applyFill="1" applyAlignment="1" applyProtection="1">
      <alignment vertical="top"/>
    </xf>
    <xf numFmtId="1" fontId="52" fillId="7" borderId="0" xfId="0" applyNumberFormat="1" applyFont="1" applyFill="1" applyAlignment="1" applyProtection="1">
      <alignment horizontal="center" vertical="top"/>
    </xf>
    <xf numFmtId="0" fontId="52" fillId="7" borderId="0" xfId="0" applyFont="1" applyFill="1" applyAlignment="1" applyProtection="1">
      <alignment horizontal="center" vertical="top"/>
    </xf>
    <xf numFmtId="49" fontId="52" fillId="8" borderId="0" xfId="0" applyNumberFormat="1" applyFont="1" applyFill="1" applyBorder="1" applyAlignment="1" applyProtection="1">
      <alignment horizontal="left" vertical="top"/>
    </xf>
    <xf numFmtId="0" fontId="7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9" fillId="8" borderId="0" xfId="0" applyFont="1" applyFill="1" applyBorder="1" applyAlignment="1" applyProtection="1">
      <alignment horizontal="left" vertical="top" wrapText="1"/>
    </xf>
    <xf numFmtId="165" fontId="52" fillId="10" borderId="4" xfId="0" applyNumberFormat="1" applyFont="1" applyFill="1" applyBorder="1" applyAlignment="1" applyProtection="1">
      <alignment horizontal="left" vertical="top"/>
    </xf>
    <xf numFmtId="0" fontId="25" fillId="0" borderId="0" xfId="0" applyFont="1" applyFill="1" applyAlignment="1" applyProtection="1">
      <alignment horizontal="left" vertical="top"/>
    </xf>
    <xf numFmtId="0" fontId="33" fillId="0" borderId="0" xfId="0" applyFont="1" applyFill="1" applyBorder="1" applyAlignment="1" applyProtection="1">
      <alignment horizontal="center" vertical="top" wrapText="1"/>
    </xf>
    <xf numFmtId="0" fontId="42" fillId="0" borderId="0" xfId="0" applyFont="1" applyFill="1" applyAlignment="1" applyProtection="1">
      <alignment vertical="top"/>
    </xf>
    <xf numFmtId="0" fontId="0" fillId="0" borderId="0" xfId="0" applyFill="1" applyAlignment="1" applyProtection="1">
      <alignment vertical="top"/>
    </xf>
    <xf numFmtId="0" fontId="28" fillId="0" borderId="0" xfId="0" applyFont="1" applyFill="1" applyBorder="1" applyAlignment="1" applyProtection="1">
      <alignment vertical="top"/>
    </xf>
    <xf numFmtId="0" fontId="77" fillId="0" borderId="0" xfId="0" applyFont="1" applyFill="1" applyBorder="1" applyAlignment="1" applyProtection="1">
      <alignment vertical="top"/>
    </xf>
    <xf numFmtId="167" fontId="33" fillId="0" borderId="0" xfId="0" applyNumberFormat="1" applyFont="1" applyFill="1" applyAlignment="1" applyProtection="1">
      <alignment horizontal="center" vertical="top" wrapText="1"/>
    </xf>
    <xf numFmtId="0" fontId="33" fillId="0" borderId="0" xfId="0" applyFont="1" applyFill="1" applyAlignment="1" applyProtection="1">
      <alignment horizontal="center" vertical="top" wrapText="1"/>
    </xf>
    <xf numFmtId="167" fontId="35" fillId="0" borderId="0" xfId="1" applyNumberFormat="1" applyFont="1" applyFill="1" applyAlignment="1" applyProtection="1">
      <alignment horizontal="right" vertical="top"/>
    </xf>
    <xf numFmtId="172" fontId="35" fillId="0" borderId="0" xfId="0" applyNumberFormat="1" applyFont="1" applyFill="1" applyAlignment="1" applyProtection="1">
      <alignment horizontal="center" vertical="top"/>
    </xf>
    <xf numFmtId="4" fontId="32" fillId="0" borderId="0" xfId="0" applyNumberFormat="1" applyFont="1" applyFill="1" applyAlignment="1" applyProtection="1">
      <alignment vertical="top"/>
    </xf>
    <xf numFmtId="167" fontId="35" fillId="0" borderId="6" xfId="1" applyNumberFormat="1" applyFont="1" applyFill="1" applyBorder="1" applyAlignment="1" applyProtection="1">
      <alignment horizontal="right" vertical="top"/>
    </xf>
    <xf numFmtId="167" fontId="33" fillId="0" borderId="6" xfId="0" applyNumberFormat="1" applyFont="1" applyFill="1" applyBorder="1" applyAlignment="1" applyProtection="1">
      <alignment horizontal="center" vertical="top"/>
    </xf>
    <xf numFmtId="0" fontId="33" fillId="0" borderId="0" xfId="0" applyFont="1" applyFill="1" applyAlignment="1" applyProtection="1">
      <alignment horizontal="left" vertical="top"/>
    </xf>
    <xf numFmtId="0" fontId="36" fillId="0" borderId="0" xfId="0" applyFont="1" applyFill="1" applyAlignment="1" applyProtection="1">
      <alignment vertical="top"/>
    </xf>
    <xf numFmtId="0" fontId="3" fillId="14" borderId="0" xfId="0" applyFont="1" applyFill="1" applyAlignment="1">
      <alignment horizontal="center"/>
    </xf>
    <xf numFmtId="0" fontId="52" fillId="7" borderId="0" xfId="0" applyFont="1" applyFill="1" applyBorder="1" applyAlignment="1" applyProtection="1">
      <alignment horizontal="center"/>
    </xf>
    <xf numFmtId="0" fontId="12" fillId="11" borderId="8" xfId="0" applyFont="1" applyFill="1" applyBorder="1" applyAlignment="1" applyProtection="1">
      <alignment horizontal="center"/>
    </xf>
    <xf numFmtId="0" fontId="12" fillId="11" borderId="3" xfId="0" applyFont="1" applyFill="1" applyBorder="1" applyAlignment="1" applyProtection="1">
      <alignment horizontal="center"/>
    </xf>
    <xf numFmtId="0" fontId="70" fillId="8" borderId="13" xfId="0" applyFont="1" applyFill="1" applyBorder="1" applyAlignment="1" applyProtection="1">
      <alignment horizontal="center" vertical="center"/>
    </xf>
    <xf numFmtId="0" fontId="70" fillId="8" borderId="7" xfId="0" applyFont="1" applyFill="1" applyBorder="1" applyAlignment="1" applyProtection="1">
      <alignment horizontal="center" vertical="center"/>
    </xf>
    <xf numFmtId="0" fontId="70" fillId="8" borderId="14" xfId="0" applyFont="1" applyFill="1" applyBorder="1" applyAlignment="1" applyProtection="1">
      <alignment horizontal="center" vertical="center"/>
    </xf>
    <xf numFmtId="1" fontId="12" fillId="12" borderId="0" xfId="0" applyNumberFormat="1" applyFont="1" applyFill="1" applyBorder="1" applyAlignment="1" applyProtection="1">
      <alignment horizontal="center" vertical="top"/>
    </xf>
    <xf numFmtId="1" fontId="12" fillId="12" borderId="0" xfId="1" applyNumberFormat="1" applyFont="1" applyFill="1" applyBorder="1" applyAlignment="1" applyProtection="1">
      <alignment horizontal="center" vertical="top"/>
    </xf>
    <xf numFmtId="1" fontId="7" fillId="8" borderId="0" xfId="1" applyNumberFormat="1" applyFont="1" applyFill="1" applyBorder="1" applyAlignment="1" applyProtection="1">
      <alignment horizontal="center" vertical="top"/>
    </xf>
    <xf numFmtId="1" fontId="52" fillId="8" borderId="0" xfId="1" applyNumberFormat="1" applyFont="1" applyFill="1" applyBorder="1" applyAlignment="1" applyProtection="1">
      <alignment horizontal="center" vertical="top"/>
    </xf>
    <xf numFmtId="1" fontId="7" fillId="8" borderId="0" xfId="1" applyNumberFormat="1" applyFont="1" applyFill="1" applyBorder="1" applyAlignment="1" applyProtection="1">
      <alignment horizontal="center" vertical="top" wrapText="1"/>
    </xf>
    <xf numFmtId="1" fontId="12" fillId="11" borderId="0" xfId="1" applyNumberFormat="1" applyFont="1" applyFill="1" applyBorder="1" applyAlignment="1" applyProtection="1">
      <alignment horizontal="center" vertical="top"/>
    </xf>
    <xf numFmtId="43" fontId="50" fillId="8" borderId="0" xfId="1" applyFont="1" applyFill="1" applyBorder="1" applyAlignment="1" applyProtection="1">
      <alignment horizontal="center" vertical="center" wrapText="1"/>
    </xf>
    <xf numFmtId="0" fontId="12" fillId="14" borderId="7" xfId="0" applyFont="1" applyFill="1" applyBorder="1" applyAlignment="1">
      <alignment horizontal="center" vertical="center"/>
    </xf>
    <xf numFmtId="0" fontId="12" fillId="14" borderId="14" xfId="0" applyFont="1" applyFill="1" applyBorder="1" applyAlignment="1">
      <alignment horizontal="center" vertical="center"/>
    </xf>
    <xf numFmtId="165" fontId="52" fillId="10" borderId="4" xfId="0" applyNumberFormat="1" applyFont="1" applyFill="1" applyBorder="1" applyAlignment="1" applyProtection="1">
      <alignment horizontal="center" vertical="top"/>
    </xf>
  </cellXfs>
  <cellStyles count="3">
    <cellStyle name="Comma" xfId="1" builtinId="3"/>
    <cellStyle name="Hyperlink" xfId="2" builtinId="8"/>
    <cellStyle name="Normal" xfId="0" builtinId="0"/>
  </cellStyles>
  <dxfs count="8">
    <dxf>
      <font>
        <strike val="0"/>
        <outline val="0"/>
        <shadow val="0"/>
        <vertAlign val="baseline"/>
        <color indexed="10"/>
        <name val="Arial"/>
        <scheme val="none"/>
      </font>
      <fill>
        <patternFill patternType="none">
          <fgColor indexed="64"/>
          <bgColor auto="1"/>
        </patternFill>
      </fill>
      <protection locked="1" hidden="0"/>
    </dxf>
    <dxf>
      <font>
        <strike val="0"/>
        <outline val="0"/>
        <shadow val="0"/>
        <vertAlign val="baseline"/>
        <color indexed="10"/>
        <name val="Arial"/>
        <scheme val="none"/>
      </font>
      <fill>
        <patternFill patternType="none">
          <fgColor indexed="64"/>
          <bgColor auto="1"/>
        </patternFill>
      </fill>
      <protection locked="1" hidden="0"/>
    </dxf>
    <dxf>
      <font>
        <b/>
        <i val="0"/>
        <strike val="0"/>
        <condense val="0"/>
        <extend val="0"/>
        <outline val="0"/>
        <shadow val="0"/>
        <u val="none"/>
        <vertAlign val="baseline"/>
        <sz val="10"/>
        <color indexed="10"/>
        <name val="Arial"/>
        <scheme val="none"/>
      </font>
      <fill>
        <patternFill patternType="none">
          <fgColor indexed="64"/>
          <bgColor auto="1"/>
        </patternFill>
      </fill>
      <protection locked="1" hidden="0"/>
    </dxf>
    <dxf>
      <fill>
        <patternFill>
          <bgColor indexed="10"/>
        </patternFill>
      </fill>
    </dxf>
    <dxf>
      <fill>
        <patternFill>
          <bgColor indexed="8"/>
        </patternFill>
      </fill>
    </dxf>
    <dxf>
      <fill>
        <patternFill>
          <bgColor indexed="8"/>
        </patternFill>
      </fill>
    </dxf>
    <dxf>
      <font>
        <condense val="0"/>
        <extend val="0"/>
        <color indexed="9"/>
      </font>
      <fill>
        <patternFill>
          <bgColor indexed="9"/>
        </patternFill>
      </fill>
    </dxf>
    <dxf>
      <fill>
        <patternFill>
          <bgColor indexed="8"/>
        </patternFill>
      </fill>
    </dxf>
  </dxfs>
  <tableStyles count="0" defaultTableStyle="TableStyleMedium2" defaultPivotStyle="PivotStyleLight16"/>
  <colors>
    <mruColors>
      <color rgb="FFFFFFCC"/>
      <color rgb="FFCCCCFF"/>
      <color rgb="FFEBEBFF"/>
      <color rgb="FFFF3399"/>
      <color rgb="FFFF6699"/>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383802</xdr:colOff>
      <xdr:row>47</xdr:row>
      <xdr:rowOff>11808</xdr:rowOff>
    </xdr:from>
    <xdr:to>
      <xdr:col>2</xdr:col>
      <xdr:colOff>2165537</xdr:colOff>
      <xdr:row>57</xdr:row>
      <xdr:rowOff>207310</xdr:rowOff>
    </xdr:to>
    <xdr:sp macro="" textlink="">
      <xdr:nvSpPr>
        <xdr:cNvPr id="1025" name="Text Box 1"/>
        <xdr:cNvSpPr txBox="1">
          <a:spLocks noChangeArrowheads="1"/>
        </xdr:cNvSpPr>
      </xdr:nvSpPr>
      <xdr:spPr bwMode="auto">
        <a:xfrm>
          <a:off x="383802" y="10691714"/>
          <a:ext cx="4127266" cy="2279096"/>
        </a:xfrm>
        <a:prstGeom prst="rect">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200" b="1" i="0" u="none" strike="noStrike" baseline="0">
              <a:solidFill>
                <a:srgbClr val="000000"/>
              </a:solidFill>
              <a:latin typeface="Arial"/>
              <a:cs typeface="Arial"/>
            </a:rPr>
            <a:t>These are the maximum estimated figures.</a:t>
          </a:r>
        </a:p>
        <a:p>
          <a:pPr algn="l" rtl="0">
            <a:lnSpc>
              <a:spcPts val="1100"/>
            </a:lnSpc>
            <a:defRPr sz="1000"/>
          </a:pPr>
          <a:endParaRPr lang="en-GB" sz="1200" b="0" i="0" u="none" strike="noStrike" baseline="0">
            <a:solidFill>
              <a:srgbClr val="000000"/>
            </a:solidFill>
            <a:latin typeface="Arial"/>
            <a:cs typeface="Arial"/>
          </a:endParaRPr>
        </a:p>
        <a:p>
          <a:pPr algn="l" rtl="0">
            <a:lnSpc>
              <a:spcPct val="150000"/>
            </a:lnSpc>
            <a:defRPr sz="1000"/>
          </a:pPr>
          <a:r>
            <a:rPr lang="en-GB" sz="1200" b="0" i="0" u="none" strike="noStrike" baseline="0">
              <a:solidFill>
                <a:srgbClr val="000000"/>
              </a:solidFill>
              <a:latin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735277</xdr:colOff>
      <xdr:row>1</xdr:row>
      <xdr:rowOff>144728</xdr:rowOff>
    </xdr:from>
    <xdr:to>
      <xdr:col>1</xdr:col>
      <xdr:colOff>987023</xdr:colOff>
      <xdr:row>10</xdr:row>
      <xdr:rowOff>57416</xdr:rowOff>
    </xdr:to>
    <xdr:pic>
      <xdr:nvPicPr>
        <xdr:cNvPr id="4" name="Picture 4" descr="\\gsmds001\grpdata\Everyone\Guildhall School Brand Guidelines\• LOGO for A4 documents\Logo_A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277" y="394759"/>
          <a:ext cx="1168527" cy="180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2095500</xdr:colOff>
      <xdr:row>49</xdr:row>
      <xdr:rowOff>66675</xdr:rowOff>
    </xdr:from>
    <xdr:to>
      <xdr:col>1</xdr:col>
      <xdr:colOff>3241675</xdr:colOff>
      <xdr:row>58</xdr:row>
      <xdr:rowOff>146050</xdr:rowOff>
    </xdr:to>
    <xdr:pic>
      <xdr:nvPicPr>
        <xdr:cNvPr id="3" name="Picture 4" descr="\\gsmds001\grpdata\Everyone\Guildhall School Brand Guidelines\• LOGO for A4 documents\Logo_A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9744075"/>
          <a:ext cx="1146175" cy="179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2124075</xdr:colOff>
      <xdr:row>41</xdr:row>
      <xdr:rowOff>47625</xdr:rowOff>
    </xdr:from>
    <xdr:to>
      <xdr:col>1</xdr:col>
      <xdr:colOff>3270250</xdr:colOff>
      <xdr:row>50</xdr:row>
      <xdr:rowOff>104775</xdr:rowOff>
    </xdr:to>
    <xdr:pic>
      <xdr:nvPicPr>
        <xdr:cNvPr id="3" name="Picture 4" descr="\\gsmds001\grpdata\Everyone\Guildhall School Brand Guidelines\• LOGO for A4 documents\Logo_A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8191500"/>
          <a:ext cx="11461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67236</xdr:colOff>
      <xdr:row>52</xdr:row>
      <xdr:rowOff>46757</xdr:rowOff>
    </xdr:from>
    <xdr:to>
      <xdr:col>15</xdr:col>
      <xdr:colOff>176592</xdr:colOff>
      <xdr:row>58</xdr:row>
      <xdr:rowOff>113659</xdr:rowOff>
    </xdr:to>
    <xdr:pic>
      <xdr:nvPicPr>
        <xdr:cNvPr id="3" name="Picture 2"/>
        <xdr:cNvPicPr>
          <a:picLocks noChangeAspect="1"/>
        </xdr:cNvPicPr>
      </xdr:nvPicPr>
      <xdr:blipFill>
        <a:blip xmlns:r="http://schemas.openxmlformats.org/officeDocument/2006/relationships" r:embed="rId1"/>
        <a:stretch>
          <a:fillRect/>
        </a:stretch>
      </xdr:blipFill>
      <xdr:spPr>
        <a:xfrm>
          <a:off x="67236" y="8652875"/>
          <a:ext cx="1924709" cy="1008196"/>
        </a:xfrm>
        <a:prstGeom prst="rect">
          <a:avLst/>
        </a:prstGeom>
      </xdr:spPr>
    </xdr:pic>
    <xdr:clientData/>
  </xdr:twoCellAnchor>
  <xdr:twoCellAnchor>
    <xdr:from>
      <xdr:col>6</xdr:col>
      <xdr:colOff>2726055</xdr:colOff>
      <xdr:row>36</xdr:row>
      <xdr:rowOff>0</xdr:rowOff>
    </xdr:from>
    <xdr:to>
      <xdr:col>6</xdr:col>
      <xdr:colOff>4636631</xdr:colOff>
      <xdr:row>41</xdr:row>
      <xdr:rowOff>76200</xdr:rowOff>
    </xdr:to>
    <xdr:sp macro="" textlink="">
      <xdr:nvSpPr>
        <xdr:cNvPr id="13326" name="Text Box 14"/>
        <xdr:cNvSpPr txBox="1">
          <a:spLocks noChangeArrowheads="1"/>
        </xdr:cNvSpPr>
      </xdr:nvSpPr>
      <xdr:spPr bwMode="auto">
        <a:xfrm>
          <a:off x="10683240" y="6225540"/>
          <a:ext cx="1958340" cy="914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32004" rIns="0" bIns="0" anchor="t" upright="1"/>
        <a:lstStyle/>
        <a:p>
          <a:pPr algn="l" rtl="0">
            <a:defRPr sz="1000"/>
          </a:pPr>
          <a:r>
            <a:rPr lang="en-GB" sz="1400" b="1" i="0" u="none" strike="noStrike" baseline="0">
              <a:solidFill>
                <a:srgbClr val="FF0000"/>
              </a:solidFill>
              <a:latin typeface="Arial"/>
              <a:cs typeface="Arial"/>
            </a:rPr>
            <a:t>If you don't like my rate and want to use another then put it in cell I44 -red box</a:t>
          </a:r>
        </a:p>
      </xdr:txBody>
    </xdr:sp>
    <xdr:clientData/>
  </xdr:twoCellAnchor>
  <xdr:twoCellAnchor>
    <xdr:from>
      <xdr:col>6</xdr:col>
      <xdr:colOff>4648200</xdr:colOff>
      <xdr:row>41</xdr:row>
      <xdr:rowOff>66675</xdr:rowOff>
    </xdr:from>
    <xdr:to>
      <xdr:col>7</xdr:col>
      <xdr:colOff>933450</xdr:colOff>
      <xdr:row>42</xdr:row>
      <xdr:rowOff>114300</xdr:rowOff>
    </xdr:to>
    <xdr:sp macro="" textlink="">
      <xdr:nvSpPr>
        <xdr:cNvPr id="5132" name="Line 16"/>
        <xdr:cNvSpPr>
          <a:spLocks noChangeShapeType="1"/>
        </xdr:cNvSpPr>
      </xdr:nvSpPr>
      <xdr:spPr bwMode="auto">
        <a:xfrm>
          <a:off x="12306300" y="6915150"/>
          <a:ext cx="1133475" cy="209550"/>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id="1" name="List1" displayName="List1" ref="G8:G10" totalsRowShown="0" headerRowDxfId="2" dataDxfId="1">
  <autoFilter ref="G8:G10"/>
  <tableColumns count="1">
    <tableColumn id="1"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fafsa.ed.gov/FAFSA/app/schoolSearch?locale=en_EN"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CCFF"/>
    <pageSetUpPr fitToPage="1"/>
  </sheetPr>
  <dimension ref="A1:D39"/>
  <sheetViews>
    <sheetView zoomScale="80" zoomScaleNormal="80" workbookViewId="0">
      <selection activeCell="G8" sqref="G8"/>
    </sheetView>
  </sheetViews>
  <sheetFormatPr defaultColWidth="9.140625" defaultRowHeight="14.25" x14ac:dyDescent="0.2"/>
  <cols>
    <col min="1" max="1" width="133.7109375" style="105" customWidth="1"/>
    <col min="2" max="16384" width="9.140625" style="105"/>
  </cols>
  <sheetData>
    <row r="1" spans="1:4" s="129" customFormat="1" ht="20.25" x14ac:dyDescent="0.3">
      <c r="A1" s="431" t="s">
        <v>135</v>
      </c>
      <c r="B1" s="431"/>
      <c r="C1" s="431"/>
      <c r="D1" s="431"/>
    </row>
    <row r="2" spans="1:4" s="129" customFormat="1" ht="15" x14ac:dyDescent="0.25">
      <c r="A2" s="363"/>
      <c r="B2" s="362"/>
      <c r="C2" s="362"/>
      <c r="D2" s="362"/>
    </row>
    <row r="3" spans="1:4" ht="15" x14ac:dyDescent="0.25">
      <c r="A3" s="363" t="s">
        <v>127</v>
      </c>
      <c r="B3" s="364"/>
      <c r="C3" s="364"/>
      <c r="D3" s="364"/>
    </row>
    <row r="4" spans="1:4" x14ac:dyDescent="0.2">
      <c r="A4" s="365" t="s">
        <v>433</v>
      </c>
      <c r="B4" s="364"/>
      <c r="C4" s="364"/>
      <c r="D4" s="364"/>
    </row>
    <row r="5" spans="1:4" x14ac:dyDescent="0.2">
      <c r="A5" s="365" t="s">
        <v>434</v>
      </c>
      <c r="B5" s="364"/>
      <c r="C5" s="364"/>
      <c r="D5" s="364"/>
    </row>
    <row r="6" spans="1:4" ht="15" x14ac:dyDescent="0.25">
      <c r="A6" s="366" t="s">
        <v>119</v>
      </c>
      <c r="B6" s="364"/>
      <c r="C6" s="364"/>
      <c r="D6" s="364"/>
    </row>
    <row r="7" spans="1:4" x14ac:dyDescent="0.2">
      <c r="A7" s="364"/>
      <c r="B7" s="364"/>
      <c r="C7" s="364"/>
      <c r="D7" s="364"/>
    </row>
    <row r="8" spans="1:4" ht="15" x14ac:dyDescent="0.25">
      <c r="A8" s="369" t="s">
        <v>118</v>
      </c>
      <c r="B8" s="364"/>
      <c r="C8" s="364"/>
      <c r="D8" s="364"/>
    </row>
    <row r="9" spans="1:4" x14ac:dyDescent="0.2">
      <c r="A9" s="365" t="s">
        <v>117</v>
      </c>
      <c r="B9" s="364"/>
      <c r="C9" s="364"/>
      <c r="D9" s="364"/>
    </row>
    <row r="10" spans="1:4" x14ac:dyDescent="0.2">
      <c r="A10" s="365" t="s">
        <v>429</v>
      </c>
      <c r="B10" s="364"/>
      <c r="C10" s="364"/>
      <c r="D10" s="364"/>
    </row>
    <row r="11" spans="1:4" x14ac:dyDescent="0.2">
      <c r="A11" s="365" t="s">
        <v>230</v>
      </c>
      <c r="B11" s="364"/>
      <c r="C11" s="364"/>
      <c r="D11" s="364"/>
    </row>
    <row r="12" spans="1:4" x14ac:dyDescent="0.2">
      <c r="A12" s="365"/>
      <c r="B12" s="364"/>
      <c r="C12" s="364"/>
      <c r="D12" s="364"/>
    </row>
    <row r="13" spans="1:4" s="128" customFormat="1" ht="15" x14ac:dyDescent="0.25">
      <c r="A13" s="363" t="s">
        <v>430</v>
      </c>
      <c r="B13" s="363"/>
      <c r="C13" s="363"/>
      <c r="D13" s="363"/>
    </row>
    <row r="14" spans="1:4" x14ac:dyDescent="0.2">
      <c r="A14" s="364" t="s">
        <v>424</v>
      </c>
      <c r="B14" s="364"/>
      <c r="C14" s="364"/>
      <c r="D14" s="364"/>
    </row>
    <row r="15" spans="1:4" x14ac:dyDescent="0.2">
      <c r="A15" s="365" t="s">
        <v>431</v>
      </c>
      <c r="B15" s="364"/>
      <c r="C15" s="364"/>
      <c r="D15" s="364"/>
    </row>
    <row r="16" spans="1:4" x14ac:dyDescent="0.2">
      <c r="A16" s="365" t="s">
        <v>432</v>
      </c>
      <c r="B16" s="364"/>
      <c r="C16" s="364"/>
      <c r="D16" s="364"/>
    </row>
    <row r="17" spans="1:4" x14ac:dyDescent="0.2">
      <c r="A17" s="365" t="s">
        <v>464</v>
      </c>
      <c r="B17" s="364"/>
      <c r="C17" s="364"/>
      <c r="D17" s="364"/>
    </row>
    <row r="18" spans="1:4" x14ac:dyDescent="0.2">
      <c r="A18" s="365" t="s">
        <v>435</v>
      </c>
      <c r="B18" s="364"/>
      <c r="C18" s="364"/>
      <c r="D18" s="364"/>
    </row>
    <row r="19" spans="1:4" x14ac:dyDescent="0.2">
      <c r="A19" s="365" t="s">
        <v>120</v>
      </c>
      <c r="B19" s="364"/>
      <c r="C19" s="364"/>
      <c r="D19" s="364"/>
    </row>
    <row r="20" spans="1:4" x14ac:dyDescent="0.2">
      <c r="A20" s="365" t="s">
        <v>121</v>
      </c>
      <c r="B20" s="364"/>
      <c r="C20" s="364"/>
      <c r="D20" s="364"/>
    </row>
    <row r="21" spans="1:4" x14ac:dyDescent="0.2">
      <c r="A21" s="365" t="s">
        <v>465</v>
      </c>
      <c r="B21" s="364"/>
      <c r="C21" s="364"/>
      <c r="D21" s="364"/>
    </row>
    <row r="22" spans="1:4" x14ac:dyDescent="0.2">
      <c r="A22" s="364"/>
      <c r="B22" s="364"/>
      <c r="C22" s="364"/>
      <c r="D22" s="364"/>
    </row>
    <row r="23" spans="1:4" s="128" customFormat="1" ht="15" x14ac:dyDescent="0.25">
      <c r="A23" s="363" t="s">
        <v>227</v>
      </c>
      <c r="B23" s="363"/>
      <c r="C23" s="363"/>
      <c r="D23" s="363"/>
    </row>
    <row r="24" spans="1:4" ht="15" x14ac:dyDescent="0.25">
      <c r="A24" s="364" t="s">
        <v>463</v>
      </c>
      <c r="B24" s="364"/>
      <c r="C24" s="364"/>
      <c r="D24" s="364"/>
    </row>
    <row r="25" spans="1:4" x14ac:dyDescent="0.2">
      <c r="A25" s="365" t="s">
        <v>228</v>
      </c>
      <c r="B25" s="364"/>
      <c r="C25" s="364"/>
      <c r="D25" s="364"/>
    </row>
    <row r="26" spans="1:4" ht="15" x14ac:dyDescent="0.25">
      <c r="A26" s="366" t="s">
        <v>229</v>
      </c>
      <c r="B26" s="364"/>
      <c r="C26" s="364"/>
      <c r="D26" s="364"/>
    </row>
    <row r="27" spans="1:4" x14ac:dyDescent="0.2">
      <c r="A27" s="364"/>
      <c r="B27" s="364"/>
      <c r="C27" s="364"/>
      <c r="D27" s="364"/>
    </row>
    <row r="28" spans="1:4" ht="15" x14ac:dyDescent="0.25">
      <c r="A28" s="367" t="s">
        <v>480</v>
      </c>
      <c r="B28" s="364"/>
      <c r="C28" s="364"/>
      <c r="D28" s="364"/>
    </row>
    <row r="29" spans="1:4" ht="15" x14ac:dyDescent="0.25">
      <c r="A29" s="370" t="s">
        <v>142</v>
      </c>
      <c r="B29" s="364"/>
      <c r="C29" s="364"/>
      <c r="D29" s="364"/>
    </row>
    <row r="30" spans="1:4" ht="15" x14ac:dyDescent="0.25">
      <c r="A30" s="370" t="s">
        <v>423</v>
      </c>
      <c r="B30" s="364"/>
      <c r="C30" s="364"/>
      <c r="D30" s="364"/>
    </row>
    <row r="31" spans="1:4" ht="15" x14ac:dyDescent="0.25">
      <c r="A31" s="366" t="s">
        <v>263</v>
      </c>
      <c r="B31" s="364"/>
      <c r="C31" s="364"/>
      <c r="D31" s="364"/>
    </row>
    <row r="32" spans="1:4" x14ac:dyDescent="0.2">
      <c r="A32" s="364"/>
      <c r="B32" s="364"/>
      <c r="C32" s="364"/>
      <c r="D32" s="364"/>
    </row>
    <row r="33" spans="1:4" x14ac:dyDescent="0.2">
      <c r="A33" s="364"/>
      <c r="B33" s="364"/>
      <c r="C33" s="364"/>
      <c r="D33" s="364"/>
    </row>
    <row r="34" spans="1:4" ht="15" x14ac:dyDescent="0.25">
      <c r="A34" s="363" t="s">
        <v>377</v>
      </c>
      <c r="B34" s="364"/>
      <c r="C34" s="364"/>
      <c r="D34" s="364"/>
    </row>
    <row r="35" spans="1:4" ht="42.75" x14ac:dyDescent="0.2">
      <c r="A35" s="368" t="s">
        <v>378</v>
      </c>
      <c r="B35" s="364"/>
      <c r="C35" s="364"/>
      <c r="D35" s="364"/>
    </row>
    <row r="36" spans="1:4" ht="28.5" x14ac:dyDescent="0.2">
      <c r="A36" s="368" t="s">
        <v>379</v>
      </c>
      <c r="B36" s="364"/>
      <c r="C36" s="364"/>
      <c r="D36" s="364"/>
    </row>
    <row r="37" spans="1:4" ht="42.75" x14ac:dyDescent="0.2">
      <c r="A37" s="368" t="s">
        <v>380</v>
      </c>
      <c r="B37" s="364"/>
      <c r="C37" s="364"/>
      <c r="D37" s="364"/>
    </row>
    <row r="38" spans="1:4" x14ac:dyDescent="0.2">
      <c r="A38" s="364"/>
      <c r="B38" s="364"/>
      <c r="C38" s="364"/>
      <c r="D38" s="364"/>
    </row>
    <row r="39" spans="1:4" x14ac:dyDescent="0.2">
      <c r="A39" s="364"/>
      <c r="B39" s="364"/>
      <c r="C39" s="364"/>
      <c r="D39" s="364"/>
    </row>
  </sheetData>
  <sheetProtection password="C4C2" sheet="1" objects="1" scenarios="1" selectLockedCells="1"/>
  <mergeCells count="1">
    <mergeCell ref="A1:D1"/>
  </mergeCells>
  <phoneticPr fontId="5" type="noConversion"/>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E24"/>
  <sheetViews>
    <sheetView zoomScale="80" zoomScaleNormal="80" workbookViewId="0">
      <selection activeCell="B7" sqref="B7"/>
    </sheetView>
  </sheetViews>
  <sheetFormatPr defaultColWidth="9.140625" defaultRowHeight="15" x14ac:dyDescent="0.2"/>
  <cols>
    <col min="1" max="1" width="93" style="109" customWidth="1"/>
    <col min="2" max="2" width="22.5703125" style="109" customWidth="1"/>
    <col min="3" max="3" width="116.85546875" style="109" customWidth="1"/>
    <col min="4" max="4" width="12.28515625" style="109" customWidth="1"/>
    <col min="5" max="5" width="9.140625" style="109" hidden="1" customWidth="1"/>
    <col min="6" max="16384" width="9.140625" style="109"/>
  </cols>
  <sheetData>
    <row r="1" spans="1:5" s="17" customFormat="1" ht="18" x14ac:dyDescent="0.25">
      <c r="A1" s="433" t="s">
        <v>85</v>
      </c>
      <c r="B1" s="434"/>
      <c r="C1" s="434"/>
      <c r="D1" s="118"/>
      <c r="E1" s="108" t="s">
        <v>95</v>
      </c>
    </row>
    <row r="2" spans="1:5" s="17" customFormat="1" ht="15.75" x14ac:dyDescent="0.25">
      <c r="A2" s="111" t="s">
        <v>84</v>
      </c>
      <c r="B2" s="112"/>
      <c r="C2" s="112"/>
      <c r="D2" s="118"/>
      <c r="E2" s="108" t="s">
        <v>3</v>
      </c>
    </row>
    <row r="3" spans="1:5" s="17" customFormat="1" ht="15.75" x14ac:dyDescent="0.25">
      <c r="A3" s="111" t="s">
        <v>122</v>
      </c>
      <c r="B3" s="112"/>
      <c r="C3" s="112"/>
      <c r="D3" s="118"/>
      <c r="E3" s="108" t="s">
        <v>4</v>
      </c>
    </row>
    <row r="4" spans="1:5" s="17" customFormat="1" ht="15.75" x14ac:dyDescent="0.25">
      <c r="A4" s="378"/>
      <c r="B4" s="378"/>
      <c r="C4" s="378"/>
      <c r="D4" s="118"/>
      <c r="E4"/>
    </row>
    <row r="5" spans="1:5" s="17" customFormat="1" ht="15.75" x14ac:dyDescent="0.25">
      <c r="A5" s="111"/>
      <c r="B5" s="112" t="s">
        <v>482</v>
      </c>
      <c r="C5" s="112" t="s">
        <v>89</v>
      </c>
      <c r="D5" s="118"/>
      <c r="E5"/>
    </row>
    <row r="6" spans="1:5" s="17" customFormat="1" ht="15.75" x14ac:dyDescent="0.25">
      <c r="A6" s="113" t="s">
        <v>21</v>
      </c>
      <c r="B6" s="112" t="s">
        <v>90</v>
      </c>
      <c r="C6" s="117"/>
      <c r="D6" s="118"/>
    </row>
    <row r="7" spans="1:5" s="17" customFormat="1" ht="15.75" x14ac:dyDescent="0.25">
      <c r="A7" s="330" t="s">
        <v>468</v>
      </c>
      <c r="B7" s="376" t="s">
        <v>4</v>
      </c>
      <c r="C7" s="327" t="str">
        <f t="shared" ref="C7:C12" si="0">IF((B7="n"),"Go back to the Cost of Attendance and enter it or we cannot process your application","")</f>
        <v>Go back to the Cost of Attendance and enter it or we cannot process your application</v>
      </c>
      <c r="D7" s="118"/>
    </row>
    <row r="8" spans="1:5" s="17" customFormat="1" ht="15.75" x14ac:dyDescent="0.25">
      <c r="A8" s="114" t="s">
        <v>396</v>
      </c>
      <c r="B8" s="376" t="s">
        <v>4</v>
      </c>
      <c r="C8" s="327" t="str">
        <f t="shared" si="0"/>
        <v>Go back to the Cost of Attendance and enter it or we cannot process your application</v>
      </c>
      <c r="D8" s="118"/>
    </row>
    <row r="9" spans="1:5" s="17" customFormat="1" ht="15.75" x14ac:dyDescent="0.25">
      <c r="A9" s="330" t="s">
        <v>467</v>
      </c>
      <c r="B9" s="376" t="s">
        <v>4</v>
      </c>
      <c r="C9" s="327" t="str">
        <f t="shared" si="0"/>
        <v>Go back to the Cost of Attendance and enter it or we cannot process your application</v>
      </c>
      <c r="D9" s="118"/>
    </row>
    <row r="10" spans="1:5" ht="15.75" x14ac:dyDescent="0.25">
      <c r="A10" s="330" t="s">
        <v>469</v>
      </c>
      <c r="B10" s="376" t="s">
        <v>4</v>
      </c>
      <c r="C10" s="327" t="str">
        <f t="shared" si="0"/>
        <v>Go back to the Cost of Attendance and enter it or we cannot process your application</v>
      </c>
      <c r="D10" s="116"/>
    </row>
    <row r="11" spans="1:5" ht="15.75" x14ac:dyDescent="0.25">
      <c r="A11" s="330" t="s">
        <v>470</v>
      </c>
      <c r="B11" s="376" t="s">
        <v>4</v>
      </c>
      <c r="C11" s="327" t="str">
        <f t="shared" si="0"/>
        <v>Go back to the Cost of Attendance and enter it or we cannot process your application</v>
      </c>
      <c r="D11" s="116"/>
    </row>
    <row r="12" spans="1:5" ht="15.75" x14ac:dyDescent="0.25">
      <c r="A12" s="330" t="s">
        <v>471</v>
      </c>
      <c r="B12" s="376" t="s">
        <v>4</v>
      </c>
      <c r="C12" s="327" t="str">
        <f t="shared" si="0"/>
        <v>Go back to the Cost of Attendance and enter it or we cannot process your application</v>
      </c>
      <c r="D12" s="116"/>
    </row>
    <row r="13" spans="1:5" x14ac:dyDescent="0.2">
      <c r="A13" s="378"/>
      <c r="B13" s="378"/>
      <c r="C13" s="378"/>
      <c r="D13" s="116"/>
    </row>
    <row r="14" spans="1:5" ht="15.75" x14ac:dyDescent="0.25">
      <c r="A14" s="115" t="s">
        <v>92</v>
      </c>
      <c r="B14" s="378"/>
      <c r="C14" s="327"/>
      <c r="D14" s="116"/>
    </row>
    <row r="15" spans="1:5" ht="15.75" x14ac:dyDescent="0.25">
      <c r="A15" s="330" t="s">
        <v>466</v>
      </c>
      <c r="B15" s="376" t="s">
        <v>4</v>
      </c>
      <c r="C15" s="327" t="str">
        <f>IF((B15="n"),"Application Rejected","")</f>
        <v>Application Rejected</v>
      </c>
      <c r="D15" s="116"/>
    </row>
    <row r="16" spans="1:5" ht="15.75" x14ac:dyDescent="0.25">
      <c r="A16" s="114" t="s">
        <v>91</v>
      </c>
      <c r="B16" s="376" t="s">
        <v>4</v>
      </c>
      <c r="C16" s="327"/>
      <c r="D16" s="116"/>
    </row>
    <row r="17" spans="1:4" ht="15.75" x14ac:dyDescent="0.25">
      <c r="A17" s="114" t="str">
        <f>IF((B16="Y"),"Have you attached your PLUS MPN","")</f>
        <v/>
      </c>
      <c r="B17" s="377" t="s">
        <v>4</v>
      </c>
      <c r="C17" s="327" t="str">
        <f>IF(((B17="n")*AND(B16="y")),"Application Rejected","")</f>
        <v/>
      </c>
      <c r="D17" s="116"/>
    </row>
    <row r="18" spans="1:4" ht="15.75" x14ac:dyDescent="0.25">
      <c r="A18" s="114" t="str">
        <f>IF((B16="Y"),"Have you attached your Credit Check result email or screenshot","")</f>
        <v/>
      </c>
      <c r="B18" s="377" t="s">
        <v>4</v>
      </c>
      <c r="C18" s="327" t="str">
        <f>IF(((B18="n")*AND(B16="y")),"Application Rejected","")</f>
        <v/>
      </c>
      <c r="D18" s="116"/>
    </row>
    <row r="19" spans="1:4" x14ac:dyDescent="0.2">
      <c r="A19" s="432"/>
      <c r="B19" s="432"/>
      <c r="C19" s="432"/>
      <c r="D19" s="116"/>
    </row>
    <row r="20" spans="1:4" ht="15.75" x14ac:dyDescent="0.25">
      <c r="A20" s="115" t="s">
        <v>93</v>
      </c>
      <c r="B20" s="378"/>
      <c r="C20" s="327"/>
      <c r="D20" s="116"/>
    </row>
    <row r="21" spans="1:4" ht="15.75" x14ac:dyDescent="0.25">
      <c r="A21" s="114" t="s">
        <v>94</v>
      </c>
      <c r="B21" s="376" t="s">
        <v>4</v>
      </c>
      <c r="C21" s="327" t="str">
        <f>IF((B21="n"),"Application Rejected","")</f>
        <v>Application Rejected</v>
      </c>
      <c r="D21" s="116"/>
    </row>
    <row r="22" spans="1:4" x14ac:dyDescent="0.2">
      <c r="A22" s="432"/>
      <c r="B22" s="432"/>
      <c r="C22" s="432"/>
      <c r="D22" s="116"/>
    </row>
    <row r="23" spans="1:4" s="15" customFormat="1" ht="31.5" customHeight="1" x14ac:dyDescent="0.25">
      <c r="A23" s="435" t="s">
        <v>126</v>
      </c>
      <c r="B23" s="436"/>
      <c r="C23" s="437"/>
      <c r="D23" s="119"/>
    </row>
    <row r="24" spans="1:4" ht="15.75" x14ac:dyDescent="0.25">
      <c r="A24" s="120"/>
      <c r="B24" s="120"/>
      <c r="C24" s="121"/>
    </row>
  </sheetData>
  <sheetProtection password="C4C2" sheet="1" objects="1" selectLockedCells="1"/>
  <mergeCells count="4">
    <mergeCell ref="A19:C19"/>
    <mergeCell ref="A22:C22"/>
    <mergeCell ref="A1:C1"/>
    <mergeCell ref="A23:C23"/>
  </mergeCells>
  <phoneticPr fontId="5" type="noConversion"/>
  <dataValidations count="2">
    <dataValidation type="list" allowBlank="1" showInputMessage="1" showErrorMessage="1" sqref="B15:B18 B21">
      <formula1>$E$2:$E$5</formula1>
    </dataValidation>
    <dataValidation type="list" allowBlank="1" showInputMessage="1" showErrorMessage="1" sqref="B7:B12">
      <formula1>$E$2:$E$3</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F128"/>
  <sheetViews>
    <sheetView tabSelected="1" zoomScale="80" zoomScaleNormal="80" workbookViewId="0">
      <selection activeCell="C14" sqref="C14"/>
    </sheetView>
  </sheetViews>
  <sheetFormatPr defaultColWidth="9.140625" defaultRowHeight="12.75" outlineLevelCol="1" x14ac:dyDescent="0.2"/>
  <cols>
    <col min="1" max="1" width="13.7109375" style="3" customWidth="1"/>
    <col min="2" max="2" width="21.42578125" style="3" customWidth="1"/>
    <col min="3" max="3" width="118.85546875" style="2" customWidth="1"/>
    <col min="4" max="4" width="27.5703125" style="1" customWidth="1"/>
    <col min="5" max="5" width="25.28515625" style="1" customWidth="1"/>
    <col min="6" max="6" width="3.28515625" style="24" customWidth="1"/>
    <col min="7" max="7" width="45.28515625" style="25" hidden="1" customWidth="1" outlineLevel="1"/>
    <col min="8" max="8" width="62.28515625" style="25" hidden="1" customWidth="1" outlineLevel="1"/>
    <col min="9" max="9" width="18.5703125" style="25" hidden="1" customWidth="1" outlineLevel="1"/>
    <col min="10" max="10" width="20.85546875" style="25" hidden="1" customWidth="1" outlineLevel="1"/>
    <col min="11" max="11" width="15.85546875" style="25" hidden="1" customWidth="1" outlineLevel="1"/>
    <col min="12" max="12" width="20.5703125" style="25" hidden="1" customWidth="1" outlineLevel="1"/>
    <col min="13" max="13" width="20.140625" style="25" hidden="1" customWidth="1" outlineLevel="1"/>
    <col min="14" max="14" width="16.140625" style="25" hidden="1" customWidth="1" outlineLevel="1"/>
    <col min="15" max="15" width="12" style="25" hidden="1" customWidth="1" outlineLevel="1"/>
    <col min="16" max="16" width="7.5703125" style="25" hidden="1" customWidth="1" outlineLevel="1"/>
    <col min="17" max="17" width="7.7109375" style="25" hidden="1" customWidth="1" outlineLevel="1"/>
    <col min="18" max="18" width="5.42578125" style="25" customWidth="1" collapsed="1"/>
    <col min="19" max="19" width="7.5703125" style="21" customWidth="1"/>
    <col min="20" max="24" width="9.140625" style="21"/>
    <col min="25" max="16384" width="9.140625" style="2"/>
  </cols>
  <sheetData>
    <row r="1" spans="1:24" s="16" customFormat="1" ht="20.100000000000001" customHeight="1" x14ac:dyDescent="0.3">
      <c r="A1" s="123"/>
      <c r="B1" s="123"/>
      <c r="C1" s="444" t="str">
        <f>"Cost of Attendance &amp; Loan Calculation for Academic Year "&amp; 'School DATA'!D6</f>
        <v>Cost of Attendance &amp; Loan Calculation for Academic Year 2022/23</v>
      </c>
      <c r="D1" s="132"/>
      <c r="E1" s="374"/>
      <c r="F1" s="140"/>
      <c r="G1" s="141"/>
      <c r="H1" s="141"/>
      <c r="I1" s="141"/>
      <c r="J1" s="141"/>
      <c r="K1" s="141"/>
      <c r="L1" s="142"/>
      <c r="M1" s="142"/>
      <c r="N1" s="142"/>
      <c r="O1" s="142"/>
      <c r="P1" s="142"/>
      <c r="Q1" s="142"/>
      <c r="R1" s="142"/>
      <c r="S1" s="143"/>
      <c r="T1" s="19"/>
      <c r="U1" s="19"/>
      <c r="V1" s="19"/>
      <c r="W1" s="19"/>
      <c r="X1" s="19"/>
    </row>
    <row r="2" spans="1:24" s="16" customFormat="1" ht="18" customHeight="1" x14ac:dyDescent="0.3">
      <c r="A2" s="123"/>
      <c r="B2" s="123"/>
      <c r="C2" s="444"/>
      <c r="D2" s="112" t="s">
        <v>398</v>
      </c>
      <c r="E2" s="373" t="s">
        <v>441</v>
      </c>
      <c r="F2" s="140"/>
      <c r="G2" s="142"/>
      <c r="H2" s="141"/>
      <c r="I2" s="141"/>
      <c r="J2" s="142"/>
      <c r="K2" s="142"/>
      <c r="L2" s="142"/>
      <c r="M2" s="142"/>
      <c r="N2" s="142"/>
      <c r="O2" s="142"/>
      <c r="P2" s="142"/>
      <c r="Q2" s="142"/>
      <c r="R2" s="142"/>
      <c r="S2" s="143"/>
      <c r="T2" s="19"/>
      <c r="U2" s="19"/>
      <c r="V2" s="19"/>
      <c r="W2" s="19"/>
      <c r="X2" s="19"/>
    </row>
    <row r="3" spans="1:24" s="13" customFormat="1" ht="18" customHeight="1" x14ac:dyDescent="0.25">
      <c r="A3" s="123"/>
      <c r="B3" s="123"/>
      <c r="C3" s="444"/>
      <c r="D3" s="132"/>
      <c r="E3" s="112"/>
      <c r="F3" s="144"/>
      <c r="G3" s="145"/>
      <c r="H3" s="146"/>
      <c r="I3" s="146"/>
      <c r="J3" s="145"/>
      <c r="K3" s="145"/>
      <c r="L3" s="145"/>
      <c r="M3" s="145"/>
      <c r="N3" s="145"/>
      <c r="O3" s="145"/>
      <c r="P3" s="145"/>
      <c r="Q3" s="145"/>
      <c r="R3" s="145"/>
      <c r="S3" s="147"/>
      <c r="T3" s="20"/>
      <c r="U3" s="20"/>
      <c r="V3" s="20"/>
      <c r="W3" s="20"/>
      <c r="X3" s="20"/>
    </row>
    <row r="4" spans="1:24" s="13" customFormat="1" ht="18" customHeight="1" x14ac:dyDescent="0.25">
      <c r="A4" s="123"/>
      <c r="B4" s="123"/>
      <c r="C4" s="133"/>
      <c r="D4" s="134"/>
      <c r="E4" s="134"/>
      <c r="F4" s="148"/>
      <c r="G4" s="145"/>
      <c r="H4" s="146"/>
      <c r="I4" s="146"/>
      <c r="J4" s="145"/>
      <c r="K4" s="145"/>
      <c r="L4" s="145"/>
      <c r="M4" s="145"/>
      <c r="N4" s="145"/>
      <c r="O4" s="145"/>
      <c r="P4" s="145"/>
      <c r="Q4" s="145"/>
      <c r="R4" s="145"/>
      <c r="S4" s="147"/>
      <c r="T4" s="20"/>
      <c r="U4" s="20"/>
      <c r="V4" s="20"/>
      <c r="W4" s="20"/>
      <c r="X4" s="20"/>
    </row>
    <row r="5" spans="1:24" s="13" customFormat="1" ht="15.75" x14ac:dyDescent="0.25">
      <c r="A5" s="123"/>
      <c r="B5" s="123"/>
      <c r="C5" s="135" t="s">
        <v>248</v>
      </c>
      <c r="D5" s="136">
        <v>44701</v>
      </c>
      <c r="E5" s="124"/>
      <c r="F5" s="149"/>
      <c r="G5" s="145"/>
      <c r="H5" s="150">
        <f>'School DATA'!H48</f>
        <v>100489</v>
      </c>
      <c r="I5" s="151" t="s">
        <v>20</v>
      </c>
      <c r="J5" s="146"/>
      <c r="K5" s="146"/>
      <c r="L5" s="145"/>
      <c r="M5" s="145"/>
      <c r="N5" s="145"/>
      <c r="O5" s="145"/>
      <c r="P5" s="145"/>
      <c r="Q5" s="145"/>
      <c r="R5" s="145"/>
      <c r="S5" s="147"/>
      <c r="T5" s="20"/>
      <c r="U5" s="20"/>
      <c r="V5" s="20"/>
      <c r="W5" s="20"/>
      <c r="X5" s="20"/>
    </row>
    <row r="6" spans="1:24" s="13" customFormat="1" ht="15.75" x14ac:dyDescent="0.25">
      <c r="A6" s="123"/>
      <c r="B6" s="123"/>
      <c r="C6" s="165" t="s">
        <v>442</v>
      </c>
      <c r="D6" s="137">
        <f>IF(('School DATA'!I44&gt;0),'School DATA'!I44,'School DATA'!H44)</f>
        <v>1.4</v>
      </c>
      <c r="E6" s="134"/>
      <c r="F6" s="149"/>
      <c r="G6" s="145"/>
      <c r="H6" s="150">
        <f>'School DATA'!H50</f>
        <v>104737.67492</v>
      </c>
      <c r="I6" s="151" t="s">
        <v>129</v>
      </c>
      <c r="J6" s="146"/>
      <c r="K6" s="146"/>
      <c r="L6" s="145"/>
      <c r="M6" s="145"/>
      <c r="N6" s="145"/>
      <c r="O6" s="145"/>
      <c r="P6" s="145"/>
      <c r="Q6" s="145"/>
      <c r="R6" s="145"/>
      <c r="S6" s="147"/>
      <c r="T6" s="20"/>
      <c r="U6" s="20"/>
      <c r="V6" s="20"/>
      <c r="W6" s="20"/>
      <c r="X6" s="20"/>
    </row>
    <row r="7" spans="1:24" s="13" customFormat="1" ht="15.75" x14ac:dyDescent="0.25">
      <c r="A7" s="123"/>
      <c r="B7" s="123"/>
      <c r="C7" s="130" t="s">
        <v>152</v>
      </c>
      <c r="D7" s="138">
        <v>44866</v>
      </c>
      <c r="E7" s="136"/>
      <c r="F7" s="144"/>
      <c r="G7" s="145"/>
      <c r="H7" s="151"/>
      <c r="I7" s="146"/>
      <c r="J7" s="145"/>
      <c r="K7" s="145"/>
      <c r="L7" s="145"/>
      <c r="M7" s="145"/>
      <c r="N7" s="145"/>
      <c r="O7" s="145"/>
      <c r="P7" s="145"/>
      <c r="Q7" s="145"/>
      <c r="R7" s="145"/>
      <c r="S7" s="147"/>
      <c r="T7" s="20"/>
      <c r="U7" s="20"/>
      <c r="V7" s="20"/>
      <c r="W7" s="20"/>
      <c r="X7" s="20"/>
    </row>
    <row r="8" spans="1:24" s="13" customFormat="1" ht="15.75" x14ac:dyDescent="0.25">
      <c r="A8" s="123"/>
      <c r="B8" s="123"/>
      <c r="C8" s="130" t="s">
        <v>33</v>
      </c>
      <c r="D8" s="139">
        <f>'School DATA'!E11</f>
        <v>43</v>
      </c>
      <c r="E8" s="134"/>
      <c r="F8" s="144"/>
      <c r="G8" s="145" t="s">
        <v>57</v>
      </c>
      <c r="H8" s="152" t="s">
        <v>17</v>
      </c>
      <c r="I8" s="152" t="s">
        <v>18</v>
      </c>
      <c r="J8" s="153" t="s">
        <v>335</v>
      </c>
      <c r="K8" s="145"/>
      <c r="L8" s="145"/>
      <c r="M8" s="145"/>
      <c r="N8" s="145"/>
      <c r="O8" s="145"/>
      <c r="P8" s="145"/>
      <c r="Q8" s="145"/>
      <c r="R8" s="145"/>
      <c r="S8" s="147"/>
      <c r="T8" s="20"/>
      <c r="U8" s="20"/>
      <c r="V8" s="20"/>
      <c r="W8" s="20"/>
      <c r="X8" s="20"/>
    </row>
    <row r="9" spans="1:24" s="13" customFormat="1" ht="15.75" x14ac:dyDescent="0.25">
      <c r="A9" s="123"/>
      <c r="B9" s="123"/>
      <c r="C9" s="130" t="s">
        <v>440</v>
      </c>
      <c r="D9" s="139">
        <f>'School DATA'!E13</f>
        <v>52</v>
      </c>
      <c r="E9" s="134"/>
      <c r="F9" s="144"/>
      <c r="G9" s="145" t="s">
        <v>55</v>
      </c>
      <c r="H9" s="154" t="s">
        <v>4</v>
      </c>
      <c r="I9" s="154">
        <v>1</v>
      </c>
      <c r="J9" s="155" t="s">
        <v>334</v>
      </c>
      <c r="K9" s="145"/>
      <c r="L9" s="145"/>
      <c r="M9" s="145"/>
      <c r="N9" s="145"/>
      <c r="O9" s="145"/>
      <c r="P9" s="145"/>
      <c r="Q9" s="145"/>
      <c r="R9" s="145"/>
      <c r="S9" s="147"/>
      <c r="T9" s="20"/>
      <c r="U9" s="20"/>
      <c r="V9" s="20"/>
      <c r="W9" s="20"/>
      <c r="X9" s="20"/>
    </row>
    <row r="10" spans="1:24" ht="15.75" x14ac:dyDescent="0.25">
      <c r="A10" s="125"/>
      <c r="B10" s="125"/>
      <c r="C10" s="135"/>
      <c r="D10" s="372"/>
      <c r="E10" s="172"/>
      <c r="F10" s="156"/>
      <c r="G10" s="155" t="s">
        <v>56</v>
      </c>
      <c r="H10" s="154" t="s">
        <v>3</v>
      </c>
      <c r="I10" s="154">
        <v>2</v>
      </c>
      <c r="J10" s="155" t="s">
        <v>336</v>
      </c>
      <c r="K10" s="155"/>
      <c r="L10" s="155"/>
      <c r="M10" s="155"/>
      <c r="N10" s="155"/>
      <c r="O10" s="155"/>
      <c r="P10" s="155"/>
      <c r="Q10" s="155"/>
      <c r="R10" s="155"/>
      <c r="S10" s="157"/>
    </row>
    <row r="11" spans="1:24" ht="15" x14ac:dyDescent="0.2">
      <c r="A11" s="125"/>
      <c r="B11" s="125"/>
      <c r="C11" s="171"/>
      <c r="D11" s="172"/>
      <c r="E11" s="110"/>
      <c r="F11" s="156"/>
      <c r="G11" s="155"/>
      <c r="H11" s="154"/>
      <c r="I11" s="154" t="s">
        <v>276</v>
      </c>
      <c r="J11" s="155"/>
      <c r="K11" s="155"/>
      <c r="L11" s="155"/>
      <c r="M11" s="145" t="s">
        <v>133</v>
      </c>
      <c r="N11" s="145"/>
      <c r="O11" s="155"/>
      <c r="P11" s="155"/>
      <c r="Q11" s="155"/>
      <c r="R11" s="155"/>
      <c r="S11" s="157"/>
    </row>
    <row r="12" spans="1:24" ht="18" x14ac:dyDescent="0.25">
      <c r="A12" s="126"/>
      <c r="B12" s="126"/>
      <c r="C12" s="170" t="s">
        <v>472</v>
      </c>
      <c r="D12" s="126"/>
      <c r="E12" s="110"/>
      <c r="F12" s="156"/>
      <c r="G12" s="155" t="s">
        <v>251</v>
      </c>
      <c r="H12" s="158" t="s">
        <v>40</v>
      </c>
      <c r="I12" s="158" t="s">
        <v>78</v>
      </c>
      <c r="J12" s="155"/>
      <c r="K12" s="155"/>
      <c r="L12" s="158" t="s">
        <v>165</v>
      </c>
      <c r="M12" s="158" t="s">
        <v>83</v>
      </c>
      <c r="N12" s="145" t="s">
        <v>134</v>
      </c>
      <c r="O12" s="155"/>
      <c r="P12" s="155"/>
      <c r="Q12" s="155"/>
      <c r="R12" s="155"/>
      <c r="S12" s="157"/>
    </row>
    <row r="13" spans="1:24" s="184" customFormat="1" ht="18" x14ac:dyDescent="0.2">
      <c r="A13" s="443" t="s">
        <v>400</v>
      </c>
      <c r="B13" s="443"/>
      <c r="C13" s="329" t="s">
        <v>445</v>
      </c>
      <c r="D13" s="371"/>
      <c r="E13" s="371"/>
      <c r="F13" s="175"/>
      <c r="G13" s="176" t="s">
        <v>252</v>
      </c>
      <c r="H13" s="177" t="s">
        <v>79</v>
      </c>
      <c r="I13" s="177" t="s">
        <v>80</v>
      </c>
      <c r="J13" s="178">
        <f>'School DATA'!D7</f>
        <v>44823</v>
      </c>
      <c r="K13" s="176"/>
      <c r="L13" s="179">
        <f>COUNT(M13:M19)</f>
        <v>3</v>
      </c>
      <c r="M13" s="180">
        <f>IF(('School DATA'!D18&gt;10/10/2010),'School DATA'!D18,"")</f>
        <v>44825</v>
      </c>
      <c r="N13" s="181">
        <f>ROUND((IF((ISNUMBER(M13)),(D85/L13),"")),0)</f>
        <v>15419</v>
      </c>
      <c r="O13" s="181"/>
      <c r="P13" s="176"/>
      <c r="Q13" s="176"/>
      <c r="R13" s="176"/>
      <c r="S13" s="182"/>
      <c r="T13" s="183"/>
      <c r="U13" s="183"/>
      <c r="V13" s="183"/>
      <c r="W13" s="183"/>
      <c r="X13" s="183"/>
    </row>
    <row r="14" spans="1:24" s="184" customFormat="1" ht="15.75" x14ac:dyDescent="0.2">
      <c r="A14" s="350"/>
      <c r="B14" s="350" t="s">
        <v>66</v>
      </c>
      <c r="C14" s="352" t="s">
        <v>397</v>
      </c>
      <c r="D14" s="185"/>
      <c r="E14" s="186"/>
      <c r="F14" s="187"/>
      <c r="G14" s="176"/>
      <c r="H14" s="177"/>
      <c r="I14" s="177" t="s">
        <v>81</v>
      </c>
      <c r="J14" s="178">
        <f>'School DATA'!D11</f>
        <v>45121</v>
      </c>
      <c r="K14" s="176"/>
      <c r="L14" s="177" t="s">
        <v>130</v>
      </c>
      <c r="M14" s="180">
        <f>IF(('School DATA'!D19&gt;10/10/2010),'School DATA'!D19,"")</f>
        <v>44935</v>
      </c>
      <c r="N14" s="181">
        <f>ROUND((IF((ISNUMBER(M14)),(D85/L13),"")),0)</f>
        <v>15419</v>
      </c>
      <c r="O14" s="176"/>
      <c r="P14" s="176"/>
      <c r="Q14" s="176"/>
      <c r="R14" s="176"/>
      <c r="S14" s="182"/>
      <c r="T14" s="183"/>
      <c r="U14" s="183"/>
      <c r="V14" s="183"/>
      <c r="W14" s="183"/>
      <c r="X14" s="183"/>
    </row>
    <row r="15" spans="1:24" s="184" customFormat="1" ht="15.75" x14ac:dyDescent="0.2">
      <c r="A15" s="350"/>
      <c r="B15" s="351" t="s">
        <v>274</v>
      </c>
      <c r="C15" s="352" t="s">
        <v>274</v>
      </c>
      <c r="D15" s="185"/>
      <c r="E15" s="186"/>
      <c r="F15" s="187"/>
      <c r="G15" s="176"/>
      <c r="H15" s="177" t="s">
        <v>82</v>
      </c>
      <c r="I15" s="177" t="s">
        <v>80</v>
      </c>
      <c r="J15" s="178">
        <f>'School DATA'!D7</f>
        <v>44823</v>
      </c>
      <c r="K15" s="176"/>
      <c r="L15" s="177" t="s">
        <v>131</v>
      </c>
      <c r="M15" s="180">
        <f>IF(('School DATA'!D20&gt;10/10/2010),'School DATA'!D20,"")</f>
        <v>45040</v>
      </c>
      <c r="N15" s="181">
        <f>ROUND((IF((ISNUMBER(M15)),(D85/L13),"")),0)</f>
        <v>15419</v>
      </c>
      <c r="O15" s="176"/>
      <c r="P15" s="176"/>
      <c r="Q15" s="176"/>
      <c r="R15" s="176"/>
      <c r="S15" s="182"/>
      <c r="T15" s="183"/>
      <c r="U15" s="183"/>
      <c r="V15" s="183"/>
      <c r="W15" s="183"/>
      <c r="X15" s="183"/>
    </row>
    <row r="16" spans="1:24" s="184" customFormat="1" ht="15.75" x14ac:dyDescent="0.2">
      <c r="A16" s="350"/>
      <c r="B16" s="350" t="s">
        <v>58</v>
      </c>
      <c r="C16" s="352" t="s">
        <v>449</v>
      </c>
      <c r="D16" s="185"/>
      <c r="E16" s="186"/>
      <c r="F16" s="187"/>
      <c r="G16" s="176"/>
      <c r="H16" s="177"/>
      <c r="I16" s="177" t="s">
        <v>81</v>
      </c>
      <c r="J16" s="178">
        <f>'School DATA'!E7</f>
        <v>45187</v>
      </c>
      <c r="K16" s="176"/>
      <c r="L16" s="177" t="s">
        <v>132</v>
      </c>
      <c r="M16" s="180" t="str">
        <f>IF(('School DATA'!D21&gt;10/10/2010),'School DATA'!D21,"")</f>
        <v/>
      </c>
      <c r="N16" s="181" t="str">
        <f>IF((ISNUMBER(M16)),(ROUND((D85/L13),0)),"")</f>
        <v/>
      </c>
      <c r="O16" s="181"/>
      <c r="P16" s="176"/>
      <c r="Q16" s="176"/>
      <c r="R16" s="176"/>
      <c r="S16" s="182"/>
      <c r="T16" s="183"/>
      <c r="U16" s="183"/>
      <c r="V16" s="183"/>
      <c r="W16" s="183"/>
      <c r="X16" s="183"/>
    </row>
    <row r="17" spans="1:24" s="184" customFormat="1" ht="15.75" x14ac:dyDescent="0.2">
      <c r="A17" s="350"/>
      <c r="B17" s="350" t="s">
        <v>59</v>
      </c>
      <c r="C17" s="352" t="s">
        <v>450</v>
      </c>
      <c r="D17" s="185"/>
      <c r="E17" s="186"/>
      <c r="F17" s="187"/>
      <c r="G17" s="176" t="s">
        <v>292</v>
      </c>
      <c r="H17" s="176"/>
      <c r="I17" s="176"/>
      <c r="J17" s="176"/>
      <c r="K17" s="176"/>
      <c r="L17" s="176"/>
      <c r="M17" s="176"/>
      <c r="N17" s="181">
        <f>SUM(N13:N16)</f>
        <v>46257</v>
      </c>
      <c r="O17" s="181"/>
      <c r="P17" s="176"/>
      <c r="Q17" s="176"/>
      <c r="R17" s="176"/>
      <c r="S17" s="182"/>
      <c r="T17" s="183"/>
      <c r="U17" s="183"/>
      <c r="V17" s="183"/>
      <c r="W17" s="183"/>
      <c r="X17" s="183"/>
    </row>
    <row r="18" spans="1:24" s="184" customFormat="1" ht="15.75" x14ac:dyDescent="0.2">
      <c r="A18" s="350"/>
      <c r="B18" s="350" t="s">
        <v>60</v>
      </c>
      <c r="C18" s="352" t="s">
        <v>451</v>
      </c>
      <c r="D18" s="185"/>
      <c r="E18" s="186"/>
      <c r="F18" s="187"/>
      <c r="G18" s="176" t="s">
        <v>293</v>
      </c>
      <c r="H18" s="176"/>
      <c r="I18" s="176"/>
      <c r="J18" s="176"/>
      <c r="K18" s="176"/>
      <c r="L18" s="176"/>
      <c r="M18" s="176"/>
      <c r="N18" s="176"/>
      <c r="O18" s="176"/>
      <c r="P18" s="176"/>
      <c r="Q18" s="176"/>
      <c r="R18" s="176"/>
      <c r="S18" s="182"/>
      <c r="T18" s="183"/>
      <c r="U18" s="183"/>
      <c r="V18" s="183"/>
      <c r="W18" s="183"/>
      <c r="X18" s="183"/>
    </row>
    <row r="19" spans="1:24" s="184" customFormat="1" ht="15.75" x14ac:dyDescent="0.2">
      <c r="A19" s="350"/>
      <c r="B19" s="350" t="s">
        <v>61</v>
      </c>
      <c r="C19" s="352" t="s">
        <v>452</v>
      </c>
      <c r="D19" s="185"/>
      <c r="E19" s="186"/>
      <c r="F19" s="187"/>
      <c r="G19" s="176" t="s">
        <v>294</v>
      </c>
      <c r="H19" s="176"/>
      <c r="I19" s="176"/>
      <c r="J19" s="176"/>
      <c r="K19" s="176"/>
      <c r="L19" s="176"/>
      <c r="M19" s="176"/>
      <c r="N19" s="176"/>
      <c r="O19" s="176"/>
      <c r="P19" s="176"/>
      <c r="Q19" s="176"/>
      <c r="R19" s="176"/>
      <c r="S19" s="182"/>
      <c r="T19" s="183"/>
      <c r="U19" s="183"/>
      <c r="V19" s="183"/>
      <c r="W19" s="183"/>
      <c r="X19" s="183"/>
    </row>
    <row r="20" spans="1:24" s="184" customFormat="1" ht="15.75" x14ac:dyDescent="0.2">
      <c r="A20" s="350"/>
      <c r="B20" s="350" t="s">
        <v>62</v>
      </c>
      <c r="C20" s="352" t="s">
        <v>62</v>
      </c>
      <c r="D20" s="185"/>
      <c r="E20" s="186"/>
      <c r="F20" s="187"/>
      <c r="G20" s="176" t="s">
        <v>295</v>
      </c>
      <c r="H20" s="176"/>
      <c r="I20" s="176"/>
      <c r="J20" s="176"/>
      <c r="K20" s="188"/>
      <c r="L20" s="176"/>
      <c r="M20" s="176"/>
      <c r="N20" s="176"/>
      <c r="O20" s="176"/>
      <c r="P20" s="176"/>
      <c r="Q20" s="176"/>
      <c r="R20" s="176"/>
      <c r="S20" s="182"/>
      <c r="T20" s="183"/>
      <c r="U20" s="183"/>
      <c r="V20" s="183"/>
      <c r="W20" s="183"/>
      <c r="X20" s="183"/>
    </row>
    <row r="21" spans="1:24" s="184" customFormat="1" ht="15.75" x14ac:dyDescent="0.2">
      <c r="A21" s="350"/>
      <c r="B21" s="350" t="s">
        <v>63</v>
      </c>
      <c r="C21" s="353" t="s">
        <v>453</v>
      </c>
      <c r="D21" s="185"/>
      <c r="E21" s="186"/>
      <c r="F21" s="187"/>
      <c r="G21" s="189" t="s">
        <v>281</v>
      </c>
      <c r="H21" s="189" t="s">
        <v>281</v>
      </c>
      <c r="I21" s="189" t="s">
        <v>296</v>
      </c>
      <c r="J21" s="176"/>
      <c r="K21" s="189" t="s">
        <v>154</v>
      </c>
      <c r="L21" s="176"/>
      <c r="M21" s="176"/>
      <c r="N21" s="176"/>
      <c r="O21" s="176"/>
      <c r="P21" s="176"/>
      <c r="Q21" s="176"/>
      <c r="R21" s="176"/>
      <c r="S21" s="182"/>
      <c r="T21" s="183"/>
      <c r="U21" s="183"/>
      <c r="V21" s="183"/>
      <c r="W21" s="183"/>
      <c r="X21" s="183"/>
    </row>
    <row r="22" spans="1:24" s="184" customFormat="1" ht="15.75" x14ac:dyDescent="0.2">
      <c r="A22" s="350"/>
      <c r="B22" s="350" t="s">
        <v>64</v>
      </c>
      <c r="C22" s="354">
        <v>37985</v>
      </c>
      <c r="D22" s="185"/>
      <c r="E22" s="186"/>
      <c r="F22" s="187"/>
      <c r="G22" s="190" t="s">
        <v>6</v>
      </c>
      <c r="H22" s="191" t="s">
        <v>35</v>
      </c>
      <c r="I22" s="191" t="s">
        <v>36</v>
      </c>
      <c r="J22" s="192"/>
      <c r="K22" s="192" t="s">
        <v>6</v>
      </c>
      <c r="L22" s="191" t="s">
        <v>35</v>
      </c>
      <c r="M22" s="191" t="s">
        <v>36</v>
      </c>
      <c r="N22" s="191"/>
      <c r="O22" s="192"/>
      <c r="P22" s="192"/>
      <c r="Q22" s="192"/>
      <c r="R22" s="176"/>
      <c r="S22" s="182"/>
      <c r="T22" s="183"/>
      <c r="U22" s="183"/>
      <c r="V22" s="183"/>
      <c r="W22" s="183"/>
      <c r="X22" s="183"/>
    </row>
    <row r="23" spans="1:24" s="184" customFormat="1" ht="15.75" x14ac:dyDescent="0.2">
      <c r="A23" s="350"/>
      <c r="B23" s="351" t="s">
        <v>65</v>
      </c>
      <c r="C23" s="355" t="s">
        <v>116</v>
      </c>
      <c r="D23" s="185"/>
      <c r="E23" s="186"/>
      <c r="F23" s="187"/>
      <c r="G23" s="193">
        <f>IF(D34="Y",0,K23)</f>
        <v>0</v>
      </c>
      <c r="H23" s="193">
        <f>IF((D34="N"),K23,0)</f>
        <v>0</v>
      </c>
      <c r="I23" s="194">
        <f>IF((D34="N"),M23,0)</f>
        <v>0</v>
      </c>
      <c r="J23" s="176" t="s">
        <v>7</v>
      </c>
      <c r="K23" s="176">
        <v>0</v>
      </c>
      <c r="L23" s="192">
        <v>0</v>
      </c>
      <c r="M23" s="176">
        <v>20500</v>
      </c>
      <c r="N23" s="176"/>
      <c r="O23" s="192"/>
      <c r="P23" s="192"/>
      <c r="Q23" s="192"/>
      <c r="R23" s="176"/>
      <c r="S23" s="182"/>
      <c r="T23" s="183"/>
      <c r="U23" s="183"/>
      <c r="V23" s="183"/>
      <c r="W23" s="183"/>
      <c r="X23" s="183"/>
    </row>
    <row r="24" spans="1:24" s="197" customFormat="1" ht="15.75" x14ac:dyDescent="0.2">
      <c r="A24" s="350"/>
      <c r="B24" s="350" t="s">
        <v>5</v>
      </c>
      <c r="C24" s="356" t="s">
        <v>301</v>
      </c>
      <c r="D24" s="185"/>
      <c r="E24" s="186"/>
      <c r="F24" s="187"/>
      <c r="G24" s="193">
        <f>IF((AND(D34="Y",D35="N",D37=1)),K24,0)</f>
        <v>3500</v>
      </c>
      <c r="H24" s="176">
        <f>IF((AND(D34="Y",D38="D",D37=1)),L24,0)</f>
        <v>2000</v>
      </c>
      <c r="I24" s="176">
        <f>IF((AND(D34="Y",D38="I",D37=1)),M24,0)</f>
        <v>0</v>
      </c>
      <c r="J24" s="176" t="s">
        <v>8</v>
      </c>
      <c r="K24" s="176">
        <v>3500</v>
      </c>
      <c r="L24" s="176">
        <v>2000</v>
      </c>
      <c r="M24" s="176">
        <v>6000</v>
      </c>
      <c r="N24" s="176"/>
      <c r="O24" s="192"/>
      <c r="P24" s="192"/>
      <c r="Q24" s="192"/>
      <c r="R24" s="192"/>
      <c r="S24" s="195"/>
      <c r="T24" s="196"/>
      <c r="U24" s="196"/>
      <c r="V24" s="196"/>
      <c r="W24" s="196"/>
      <c r="X24" s="196"/>
    </row>
    <row r="25" spans="1:24" s="197" customFormat="1" ht="15.75" x14ac:dyDescent="0.2">
      <c r="A25" s="350"/>
      <c r="B25" s="350" t="s">
        <v>282</v>
      </c>
      <c r="C25" s="356" t="s">
        <v>454</v>
      </c>
      <c r="D25" s="185"/>
      <c r="E25" s="186"/>
      <c r="F25" s="198"/>
      <c r="G25" s="193">
        <f>IF((AND(D34="Y",D35="N",D37=2)),K25,0)</f>
        <v>0</v>
      </c>
      <c r="H25" s="176">
        <f>IF((AND(D34="Y",D38="D",D37=2)),L25,0)</f>
        <v>0</v>
      </c>
      <c r="I25" s="176">
        <f>IF((AND(D34="Y",D38="I",D37=2)),M25,0)</f>
        <v>0</v>
      </c>
      <c r="J25" s="176" t="s">
        <v>9</v>
      </c>
      <c r="K25" s="176">
        <v>4500</v>
      </c>
      <c r="L25" s="176">
        <v>2000</v>
      </c>
      <c r="M25" s="176">
        <v>6000</v>
      </c>
      <c r="N25" s="176"/>
      <c r="O25" s="176"/>
      <c r="P25" s="176"/>
      <c r="Q25" s="176"/>
      <c r="R25" s="192"/>
      <c r="S25" s="195"/>
      <c r="T25" s="196"/>
      <c r="U25" s="196"/>
      <c r="V25" s="196"/>
      <c r="W25" s="196"/>
      <c r="X25" s="196"/>
    </row>
    <row r="26" spans="1:24" s="197" customFormat="1" ht="18" x14ac:dyDescent="0.2">
      <c r="A26" s="443" t="s">
        <v>401</v>
      </c>
      <c r="B26" s="443"/>
      <c r="C26" s="199" t="s">
        <v>310</v>
      </c>
      <c r="D26" s="200" t="s">
        <v>456</v>
      </c>
      <c r="E26" s="201" t="s">
        <v>436</v>
      </c>
      <c r="F26" s="202"/>
      <c r="G26" s="193">
        <f>IF((AND(D34="Y",D35="N",D37&gt;2)),K26,0)</f>
        <v>0</v>
      </c>
      <c r="H26" s="176">
        <f>IF((AND(D34="Y",D38="D",D37&gt;2)),L26,0)</f>
        <v>0</v>
      </c>
      <c r="I26" s="176">
        <f>IF((AND(D34="Y",D38="I",D37&gt;2)),M26,0)</f>
        <v>0</v>
      </c>
      <c r="J26" s="176" t="s">
        <v>19</v>
      </c>
      <c r="K26" s="176">
        <v>5500</v>
      </c>
      <c r="L26" s="176">
        <v>2000</v>
      </c>
      <c r="M26" s="176">
        <v>7000</v>
      </c>
      <c r="N26" s="176"/>
      <c r="O26" s="176"/>
      <c r="P26" s="176"/>
      <c r="Q26" s="176"/>
      <c r="R26" s="192"/>
      <c r="S26" s="195"/>
      <c r="T26" s="196"/>
      <c r="U26" s="196"/>
      <c r="V26" s="196"/>
      <c r="W26" s="196"/>
      <c r="X26" s="196"/>
    </row>
    <row r="27" spans="1:24" s="184" customFormat="1" ht="19.5" customHeight="1" x14ac:dyDescent="0.2">
      <c r="A27" s="203"/>
      <c r="B27" s="203"/>
      <c r="C27" s="174" t="s">
        <v>447</v>
      </c>
      <c r="D27" s="331" t="s">
        <v>3</v>
      </c>
      <c r="E27" s="343"/>
      <c r="F27" s="198"/>
      <c r="G27" s="193">
        <f>IF((AND(D34="Y", D35="Y", D36="Y")),K27,0)</f>
        <v>0</v>
      </c>
      <c r="H27" s="176">
        <f>IF((AND(D34="Y",D35="Y",D36="Y")),I27,0)</f>
        <v>0</v>
      </c>
      <c r="I27" s="194">
        <f>IF((AND(D34="Y", D35="Y", D36="Y")),M27,0)</f>
        <v>0</v>
      </c>
      <c r="J27" s="176" t="s">
        <v>359</v>
      </c>
      <c r="K27" s="176">
        <f>K23</f>
        <v>0</v>
      </c>
      <c r="L27" s="176">
        <f>L23</f>
        <v>0</v>
      </c>
      <c r="M27" s="176">
        <f>M23</f>
        <v>20500</v>
      </c>
      <c r="N27" s="176"/>
      <c r="O27" s="176"/>
      <c r="P27" s="176"/>
      <c r="Q27" s="176"/>
      <c r="R27" s="176"/>
      <c r="S27" s="182"/>
      <c r="T27" s="183"/>
      <c r="U27" s="183"/>
      <c r="V27" s="183"/>
      <c r="W27" s="183"/>
      <c r="X27" s="183"/>
    </row>
    <row r="28" spans="1:24" s="184" customFormat="1" ht="19.5" customHeight="1" x14ac:dyDescent="0.2">
      <c r="A28" s="203"/>
      <c r="B28" s="203"/>
      <c r="C28" s="174" t="s">
        <v>448</v>
      </c>
      <c r="D28" s="331" t="s">
        <v>4</v>
      </c>
      <c r="E28" s="343"/>
      <c r="F28" s="198"/>
      <c r="G28" s="193">
        <f>MAX(G23:G27)</f>
        <v>3500</v>
      </c>
      <c r="H28" s="194"/>
      <c r="I28" s="194">
        <f>MAX(H23:I27)</f>
        <v>2000</v>
      </c>
      <c r="J28" s="189" t="s">
        <v>31</v>
      </c>
      <c r="K28" s="189"/>
      <c r="L28" s="204" t="s">
        <v>416</v>
      </c>
      <c r="M28" s="176"/>
      <c r="N28" s="176"/>
      <c r="O28" s="176"/>
      <c r="P28" s="176"/>
      <c r="Q28" s="176"/>
      <c r="R28" s="176"/>
      <c r="S28" s="182"/>
      <c r="T28" s="183"/>
      <c r="U28" s="183"/>
      <c r="V28" s="183"/>
      <c r="W28" s="183"/>
      <c r="X28" s="183"/>
    </row>
    <row r="29" spans="1:24" s="184" customFormat="1" ht="19.5" customHeight="1" x14ac:dyDescent="0.2">
      <c r="A29" s="203"/>
      <c r="B29" s="203"/>
      <c r="C29" s="166" t="s">
        <v>402</v>
      </c>
      <c r="D29" s="331" t="s">
        <v>4</v>
      </c>
      <c r="E29" s="343"/>
      <c r="F29" s="198"/>
      <c r="G29" s="205"/>
      <c r="H29" s="176"/>
      <c r="I29" s="176"/>
      <c r="J29" s="176"/>
      <c r="K29" s="189"/>
      <c r="L29" s="176"/>
      <c r="M29" s="176"/>
      <c r="N29" s="176"/>
      <c r="O29" s="176"/>
      <c r="P29" s="176"/>
      <c r="Q29" s="176"/>
      <c r="R29" s="176"/>
      <c r="S29" s="182"/>
      <c r="T29" s="183"/>
      <c r="U29" s="183"/>
      <c r="V29" s="183"/>
      <c r="W29" s="183"/>
      <c r="X29" s="183"/>
    </row>
    <row r="30" spans="1:24" s="184" customFormat="1" ht="19.5" customHeight="1" x14ac:dyDescent="0.2">
      <c r="A30" s="203"/>
      <c r="B30" s="341" t="str">
        <f>IF((D29="Y"),"4","")</f>
        <v/>
      </c>
      <c r="C30" s="167" t="str">
        <f>IF((D29="Y"),"Answer the questions 14-18 then proceed directly to Section 7","")</f>
        <v/>
      </c>
      <c r="D30" s="331" t="s">
        <v>4</v>
      </c>
      <c r="E30" s="343"/>
      <c r="F30" s="198"/>
      <c r="G30" s="205"/>
      <c r="H30" s="189" t="s">
        <v>155</v>
      </c>
      <c r="I30" s="176"/>
      <c r="J30" s="176"/>
      <c r="K30" s="176"/>
      <c r="L30" s="207"/>
      <c r="M30" s="176"/>
      <c r="N30" s="176"/>
      <c r="O30" s="176"/>
      <c r="P30" s="176"/>
      <c r="Q30" s="176"/>
      <c r="R30" s="176"/>
      <c r="S30" s="182"/>
      <c r="T30" s="183"/>
      <c r="U30" s="183"/>
      <c r="V30" s="183"/>
      <c r="W30" s="183"/>
      <c r="X30" s="183"/>
    </row>
    <row r="31" spans="1:24" s="184" customFormat="1" ht="19.5" customHeight="1" x14ac:dyDescent="0.2">
      <c r="A31" s="203"/>
      <c r="B31" s="206">
        <f>IF((D31="Y"),1,0)</f>
        <v>0</v>
      </c>
      <c r="C31" s="411" t="s">
        <v>403</v>
      </c>
      <c r="D31" s="331" t="s">
        <v>4</v>
      </c>
      <c r="E31" s="344" t="str">
        <f>IF((D31="Y"),"PRIVATE LOANS ONLY","")</f>
        <v/>
      </c>
      <c r="F31" s="198"/>
      <c r="G31" s="205" t="s">
        <v>34</v>
      </c>
      <c r="H31" s="208" t="s">
        <v>11</v>
      </c>
      <c r="I31" s="208" t="s">
        <v>12</v>
      </c>
      <c r="J31" s="189" t="s">
        <v>10</v>
      </c>
      <c r="K31" s="189"/>
      <c r="L31" s="176"/>
      <c r="M31" s="176"/>
      <c r="N31" s="176"/>
      <c r="O31" s="176"/>
      <c r="P31" s="176"/>
      <c r="Q31" s="176"/>
      <c r="R31" s="176"/>
      <c r="S31" s="182"/>
      <c r="T31" s="183"/>
      <c r="U31" s="183"/>
      <c r="V31" s="183"/>
      <c r="W31" s="183"/>
      <c r="X31" s="183"/>
    </row>
    <row r="32" spans="1:24" s="184" customFormat="1" ht="19.5" customHeight="1" x14ac:dyDescent="0.2">
      <c r="A32" s="203"/>
      <c r="B32" s="206"/>
      <c r="C32" s="168" t="s">
        <v>404</v>
      </c>
      <c r="D32" s="331" t="s">
        <v>4</v>
      </c>
      <c r="E32" s="345" t="str">
        <f>IF((D32="Y"),"For school codes - click below","")</f>
        <v/>
      </c>
      <c r="F32" s="198"/>
      <c r="G32" s="209">
        <f>D6</f>
        <v>1.4</v>
      </c>
      <c r="H32" s="194">
        <f>D40*G32</f>
        <v>0</v>
      </c>
      <c r="I32" s="194">
        <f>E40</f>
        <v>0</v>
      </c>
      <c r="J32" s="189" t="s">
        <v>13</v>
      </c>
      <c r="K32" s="176" t="s">
        <v>322</v>
      </c>
      <c r="L32" s="176"/>
      <c r="M32" s="176"/>
      <c r="N32" s="176"/>
      <c r="O32" s="176"/>
      <c r="P32" s="176"/>
      <c r="Q32" s="176"/>
      <c r="R32" s="176"/>
      <c r="S32" s="182"/>
      <c r="T32" s="183"/>
      <c r="U32" s="183"/>
      <c r="V32" s="183"/>
      <c r="W32" s="183"/>
      <c r="X32" s="183"/>
    </row>
    <row r="33" spans="1:24" s="184" customFormat="1" ht="19.5" customHeight="1" x14ac:dyDescent="0.2">
      <c r="A33" s="203"/>
      <c r="B33" s="206">
        <f>IF((D33="N"),1,0)</f>
        <v>0</v>
      </c>
      <c r="C33" s="168" t="str">
        <f>IF((D32="Y"),"Is that school in the List of federal School Codes at the website link now showing in green box","do not adjust this line")</f>
        <v>do not adjust this line</v>
      </c>
      <c r="D33" s="331" t="s">
        <v>3</v>
      </c>
      <c r="E33" s="346" t="str">
        <f>IF((D32="Y"),HYPERLINK("https://ifap.ed.gov/ilibrary/document-types/federal-school-code-list","Federal School Codes"),"")</f>
        <v/>
      </c>
      <c r="F33" s="198"/>
      <c r="G33" s="205">
        <f>G32</f>
        <v>1.4</v>
      </c>
      <c r="H33" s="194">
        <f>D41*G33</f>
        <v>0</v>
      </c>
      <c r="I33" s="194">
        <f>E41</f>
        <v>0</v>
      </c>
      <c r="J33" s="176" t="s">
        <v>14</v>
      </c>
      <c r="K33" s="176" t="s">
        <v>321</v>
      </c>
      <c r="L33" s="176"/>
      <c r="M33" s="176"/>
      <c r="N33" s="176"/>
      <c r="O33" s="176"/>
      <c r="P33" s="176"/>
      <c r="Q33" s="176"/>
      <c r="R33" s="176"/>
      <c r="S33" s="182"/>
      <c r="T33" s="183"/>
      <c r="U33" s="183"/>
      <c r="V33" s="183"/>
      <c r="W33" s="183"/>
      <c r="X33" s="183"/>
    </row>
    <row r="34" spans="1:24" s="184" customFormat="1" ht="19.5" customHeight="1" x14ac:dyDescent="0.2">
      <c r="A34" s="203">
        <f>IF((D34="Y"),1,2)</f>
        <v>1</v>
      </c>
      <c r="B34" s="206"/>
      <c r="C34" s="169" t="s">
        <v>406</v>
      </c>
      <c r="D34" s="331" t="s">
        <v>3</v>
      </c>
      <c r="E34" s="347" t="str">
        <f>IF((D33="n"), "PRIVATE LOANS ONLY","")</f>
        <v/>
      </c>
      <c r="F34" s="198"/>
      <c r="G34" s="205">
        <f>G33</f>
        <v>1.4</v>
      </c>
      <c r="H34" s="194">
        <f>D42*G34</f>
        <v>0</v>
      </c>
      <c r="I34" s="194">
        <f>E42</f>
        <v>0</v>
      </c>
      <c r="J34" s="176" t="s">
        <v>15</v>
      </c>
      <c r="K34" s="176" t="s">
        <v>321</v>
      </c>
      <c r="L34" s="176"/>
      <c r="M34" s="176"/>
      <c r="N34" s="176"/>
      <c r="O34" s="176"/>
      <c r="P34" s="176"/>
      <c r="Q34" s="176"/>
      <c r="R34" s="176"/>
      <c r="S34" s="182"/>
      <c r="T34" s="183"/>
      <c r="U34" s="183"/>
      <c r="V34" s="183"/>
      <c r="W34" s="183"/>
      <c r="X34" s="183"/>
    </row>
    <row r="35" spans="1:24" s="184" customFormat="1" ht="19.5" customHeight="1" x14ac:dyDescent="0.2">
      <c r="A35" s="203">
        <f>IF((D35="N"),1,2)</f>
        <v>1</v>
      </c>
      <c r="B35" s="206"/>
      <c r="C35" s="169" t="str">
        <f>IF(D34="N", "Do not adjust this line", "Are you taking an undergraduate course but at graduate/professional level?")</f>
        <v>Are you taking an undergraduate course but at graduate/professional level?</v>
      </c>
      <c r="D35" s="331" t="s">
        <v>4</v>
      </c>
      <c r="E35" s="343"/>
      <c r="F35" s="198"/>
      <c r="G35" s="205">
        <f>G34</f>
        <v>1.4</v>
      </c>
      <c r="H35" s="194">
        <f>D43*G35</f>
        <v>0</v>
      </c>
      <c r="I35" s="194">
        <f>E43</f>
        <v>0</v>
      </c>
      <c r="J35" s="176" t="s">
        <v>38</v>
      </c>
      <c r="K35" s="176" t="s">
        <v>321</v>
      </c>
      <c r="L35" s="176"/>
      <c r="M35" s="176"/>
      <c r="N35" s="176"/>
      <c r="O35" s="176"/>
      <c r="P35" s="176"/>
      <c r="Q35" s="176"/>
      <c r="R35" s="176"/>
      <c r="S35" s="182"/>
      <c r="T35" s="183"/>
      <c r="U35" s="183"/>
      <c r="V35" s="183"/>
      <c r="W35" s="183"/>
      <c r="X35" s="183"/>
    </row>
    <row r="36" spans="1:24" s="184" customFormat="1" ht="19.5" customHeight="1" x14ac:dyDescent="0.2">
      <c r="A36" s="203"/>
      <c r="B36" s="206"/>
      <c r="C36" s="169" t="str">
        <f>IF((AND( D34="Y", D35="Y")), "Do you already have another undergraduate degree?", "Do not adjust this line" )</f>
        <v>Do not adjust this line</v>
      </c>
      <c r="D36" s="331" t="s">
        <v>4</v>
      </c>
      <c r="E36" s="343"/>
      <c r="F36" s="198"/>
      <c r="G36" s="205">
        <f>G34</f>
        <v>1.4</v>
      </c>
      <c r="H36" s="194">
        <f>D44*G36</f>
        <v>0</v>
      </c>
      <c r="I36" s="194">
        <f>E44</f>
        <v>0</v>
      </c>
      <c r="J36" s="176" t="s">
        <v>39</v>
      </c>
      <c r="K36" s="176" t="s">
        <v>321</v>
      </c>
      <c r="L36" s="176"/>
      <c r="M36" s="176"/>
      <c r="N36" s="176"/>
      <c r="O36" s="176"/>
      <c r="P36" s="176"/>
      <c r="Q36" s="176"/>
      <c r="R36" s="176"/>
      <c r="S36" s="182"/>
      <c r="T36" s="183"/>
      <c r="U36" s="183"/>
      <c r="V36" s="183"/>
      <c r="W36" s="183"/>
      <c r="X36" s="183"/>
    </row>
    <row r="37" spans="1:24" s="197" customFormat="1" ht="19.5" customHeight="1" x14ac:dyDescent="0.2">
      <c r="A37" s="203"/>
      <c r="B37" s="206"/>
      <c r="C37" s="173" t="s">
        <v>306</v>
      </c>
      <c r="D37" s="332">
        <v>1</v>
      </c>
      <c r="E37" s="343"/>
      <c r="F37" s="198"/>
      <c r="G37" s="210"/>
      <c r="H37" s="211"/>
      <c r="I37" s="212">
        <f>SUM(H33:I36)</f>
        <v>0</v>
      </c>
      <c r="J37" s="188" t="s">
        <v>37</v>
      </c>
      <c r="K37" s="188"/>
      <c r="L37" s="192"/>
      <c r="M37" s="192"/>
      <c r="N37" s="192"/>
      <c r="O37" s="192"/>
      <c r="P37" s="192"/>
      <c r="Q37" s="192"/>
      <c r="R37" s="192"/>
      <c r="S37" s="195"/>
      <c r="T37" s="196"/>
      <c r="U37" s="196"/>
      <c r="V37" s="196"/>
      <c r="W37" s="196"/>
      <c r="X37" s="196"/>
    </row>
    <row r="38" spans="1:24" s="184" customFormat="1" ht="19.5" customHeight="1" x14ac:dyDescent="0.2">
      <c r="A38" s="203"/>
      <c r="B38" s="206"/>
      <c r="C38" s="173" t="s">
        <v>446</v>
      </c>
      <c r="D38" s="331" t="s">
        <v>56</v>
      </c>
      <c r="E38" s="343"/>
      <c r="F38" s="198"/>
      <c r="G38" s="205"/>
      <c r="H38" s="176"/>
      <c r="I38" s="194"/>
      <c r="J38" s="176"/>
      <c r="K38" s="176"/>
      <c r="L38" s="176"/>
      <c r="M38" s="176"/>
      <c r="N38" s="176"/>
      <c r="O38" s="176"/>
      <c r="P38" s="176"/>
      <c r="Q38" s="176"/>
      <c r="R38" s="176"/>
      <c r="S38" s="182"/>
      <c r="T38" s="183"/>
      <c r="U38" s="183"/>
      <c r="V38" s="183"/>
      <c r="W38" s="183"/>
      <c r="X38" s="183"/>
    </row>
    <row r="39" spans="1:24" s="184" customFormat="1" ht="19.5" customHeight="1" x14ac:dyDescent="0.2">
      <c r="A39" s="203"/>
      <c r="B39" s="206"/>
      <c r="C39" s="169" t="s">
        <v>426</v>
      </c>
      <c r="D39" s="333">
        <v>0</v>
      </c>
      <c r="E39" s="348"/>
      <c r="F39" s="198"/>
      <c r="G39" s="205"/>
      <c r="H39" s="189" t="s">
        <v>156</v>
      </c>
      <c r="I39" s="176"/>
      <c r="J39" s="176"/>
      <c r="K39" s="176"/>
      <c r="L39" s="176"/>
      <c r="M39" s="176"/>
      <c r="N39" s="176"/>
      <c r="O39" s="176"/>
      <c r="P39" s="176"/>
      <c r="Q39" s="176"/>
      <c r="R39" s="176"/>
      <c r="S39" s="182"/>
      <c r="T39" s="183"/>
      <c r="U39" s="183"/>
      <c r="V39" s="183"/>
      <c r="W39" s="183"/>
      <c r="X39" s="183"/>
    </row>
    <row r="40" spans="1:24" s="184" customFormat="1" ht="19.5" customHeight="1" x14ac:dyDescent="0.2">
      <c r="A40" s="203"/>
      <c r="B40" s="341" t="str">
        <f>IF((D29="Y"),"14","")</f>
        <v/>
      </c>
      <c r="C40" s="169" t="s">
        <v>249</v>
      </c>
      <c r="D40" s="334">
        <v>0</v>
      </c>
      <c r="E40" s="348"/>
      <c r="F40" s="213"/>
      <c r="G40" s="205" t="s">
        <v>16</v>
      </c>
      <c r="H40" s="193" t="s">
        <v>29</v>
      </c>
      <c r="I40" s="193" t="s">
        <v>30</v>
      </c>
      <c r="J40" s="176" t="s">
        <v>28</v>
      </c>
      <c r="K40" s="176" t="s">
        <v>319</v>
      </c>
      <c r="L40" s="176" t="s">
        <v>34</v>
      </c>
      <c r="M40" s="176" t="s">
        <v>320</v>
      </c>
      <c r="N40" s="176"/>
      <c r="O40" s="176"/>
      <c r="P40" s="176"/>
      <c r="Q40" s="176"/>
      <c r="R40" s="176"/>
      <c r="S40" s="182"/>
      <c r="T40" s="183"/>
      <c r="U40" s="183"/>
      <c r="V40" s="183"/>
      <c r="W40" s="183"/>
      <c r="X40" s="183"/>
    </row>
    <row r="41" spans="1:24" s="184" customFormat="1" ht="19.5" customHeight="1" x14ac:dyDescent="0.2">
      <c r="A41" s="203"/>
      <c r="B41" s="341" t="str">
        <f>IF((D29="Y"),"15","")</f>
        <v/>
      </c>
      <c r="C41" s="169" t="s">
        <v>271</v>
      </c>
      <c r="D41" s="334">
        <v>0</v>
      </c>
      <c r="E41" s="375">
        <v>0</v>
      </c>
      <c r="F41" s="213"/>
      <c r="G41" s="205">
        <f>D8</f>
        <v>43</v>
      </c>
      <c r="H41" s="194">
        <f>ROUND((M41*L41*G41),0)</f>
        <v>21070</v>
      </c>
      <c r="I41" s="194">
        <f>ROUND((M41*L41*J41),0)</f>
        <v>25480</v>
      </c>
      <c r="J41" s="214">
        <f>D9</f>
        <v>52</v>
      </c>
      <c r="K41" s="215" t="str">
        <f>IF(((MAX(A34:A35))&gt;1),"P","U")</f>
        <v>U</v>
      </c>
      <c r="L41" s="216">
        <f>G32</f>
        <v>1.4</v>
      </c>
      <c r="M41" s="176">
        <f>'School DATA'!I11</f>
        <v>350</v>
      </c>
      <c r="N41" s="176" t="s">
        <v>24</v>
      </c>
      <c r="O41" s="176"/>
      <c r="P41" s="176"/>
      <c r="Q41" s="176"/>
      <c r="R41" s="176"/>
      <c r="S41" s="182"/>
      <c r="T41" s="183"/>
      <c r="U41" s="183"/>
      <c r="V41" s="183"/>
      <c r="W41" s="183"/>
      <c r="X41" s="183"/>
    </row>
    <row r="42" spans="1:24" s="184" customFormat="1" ht="19.5" customHeight="1" x14ac:dyDescent="0.2">
      <c r="A42" s="203"/>
      <c r="B42" s="341" t="str">
        <f>IF((D29="Y"),"16","")</f>
        <v/>
      </c>
      <c r="C42" s="169" t="s">
        <v>283</v>
      </c>
      <c r="D42" s="334">
        <v>0</v>
      </c>
      <c r="E42" s="342"/>
      <c r="F42" s="217"/>
      <c r="G42" s="205">
        <f>D8</f>
        <v>43</v>
      </c>
      <c r="H42" s="194">
        <f>ROUND((M42*L42*G42),0)</f>
        <v>8428</v>
      </c>
      <c r="I42" s="194">
        <f>ROUND((M42*L42*J42),0)</f>
        <v>10192</v>
      </c>
      <c r="J42" s="214">
        <f t="shared" ref="J42:L45" si="0">J41</f>
        <v>52</v>
      </c>
      <c r="K42" s="215" t="str">
        <f t="shared" si="0"/>
        <v>U</v>
      </c>
      <c r="L42" s="216">
        <f t="shared" si="0"/>
        <v>1.4</v>
      </c>
      <c r="M42" s="176">
        <f>'School DATA'!I13</f>
        <v>140</v>
      </c>
      <c r="N42" s="176" t="s">
        <v>25</v>
      </c>
      <c r="O42" s="176"/>
      <c r="P42" s="176"/>
      <c r="Q42" s="176"/>
      <c r="R42" s="176"/>
      <c r="S42" s="182"/>
      <c r="T42" s="183"/>
      <c r="U42" s="183"/>
      <c r="V42" s="183"/>
      <c r="W42" s="183"/>
      <c r="X42" s="183"/>
    </row>
    <row r="43" spans="1:24" s="184" customFormat="1" ht="19.5" customHeight="1" x14ac:dyDescent="0.2">
      <c r="A43" s="203"/>
      <c r="B43" s="341" t="str">
        <f>IF((D29="Y"),"17","")</f>
        <v/>
      </c>
      <c r="C43" s="169" t="s">
        <v>272</v>
      </c>
      <c r="D43" s="334">
        <v>0</v>
      </c>
      <c r="E43" s="342"/>
      <c r="F43" s="217"/>
      <c r="G43" s="205">
        <f>G42</f>
        <v>43</v>
      </c>
      <c r="H43" s="194">
        <f>ROUND((M43*L43*G43),0)</f>
        <v>903</v>
      </c>
      <c r="I43" s="194">
        <f>ROUND((M43*L43*J43),0)</f>
        <v>1092</v>
      </c>
      <c r="J43" s="214">
        <f t="shared" si="0"/>
        <v>52</v>
      </c>
      <c r="K43" s="215" t="str">
        <f t="shared" si="0"/>
        <v>U</v>
      </c>
      <c r="L43" s="216">
        <f t="shared" si="0"/>
        <v>1.4</v>
      </c>
      <c r="M43" s="176">
        <f>'School DATA'!H14</f>
        <v>15</v>
      </c>
      <c r="N43" s="176" t="s">
        <v>26</v>
      </c>
      <c r="O43" s="176"/>
      <c r="P43" s="176"/>
      <c r="Q43" s="176"/>
      <c r="R43" s="176"/>
      <c r="S43" s="182"/>
      <c r="T43" s="183"/>
      <c r="U43" s="183"/>
      <c r="V43" s="183"/>
      <c r="W43" s="183"/>
      <c r="X43" s="183"/>
    </row>
    <row r="44" spans="1:24" s="184" customFormat="1" ht="19.5" customHeight="1" x14ac:dyDescent="0.2">
      <c r="A44" s="203" t="s">
        <v>305</v>
      </c>
      <c r="B44" s="341" t="str">
        <f>IF((D29="Y"),"18","")</f>
        <v/>
      </c>
      <c r="C44" s="169" t="s">
        <v>273</v>
      </c>
      <c r="D44" s="349"/>
      <c r="E44" s="375">
        <v>0</v>
      </c>
      <c r="F44" s="217"/>
      <c r="G44" s="205">
        <f>G43</f>
        <v>43</v>
      </c>
      <c r="H44" s="194">
        <f>ROUND((M44*L44*G44),0)</f>
        <v>2348</v>
      </c>
      <c r="I44" s="194">
        <f>ROUND((M44*L44*J44),0)</f>
        <v>2839</v>
      </c>
      <c r="J44" s="214">
        <f t="shared" si="0"/>
        <v>52</v>
      </c>
      <c r="K44" s="215" t="str">
        <f t="shared" si="0"/>
        <v>U</v>
      </c>
      <c r="L44" s="216">
        <f t="shared" si="0"/>
        <v>1.4</v>
      </c>
      <c r="M44" s="176">
        <f>'School DATA'!H15</f>
        <v>39</v>
      </c>
      <c r="N44" s="176" t="s">
        <v>27</v>
      </c>
      <c r="O44" s="176"/>
      <c r="P44" s="176"/>
      <c r="Q44" s="176"/>
      <c r="R44" s="176"/>
      <c r="S44" s="182"/>
      <c r="T44" s="183"/>
      <c r="U44" s="183"/>
      <c r="V44" s="183"/>
      <c r="W44" s="183"/>
      <c r="X44" s="183"/>
    </row>
    <row r="45" spans="1:24" s="184" customFormat="1" ht="19.5" customHeight="1" x14ac:dyDescent="0.2">
      <c r="A45" s="203">
        <f>SUM(B31:B45)</f>
        <v>0</v>
      </c>
      <c r="B45" s="203">
        <f>IF((D29="Y"),1,0)</f>
        <v>0</v>
      </c>
      <c r="C45" s="131"/>
      <c r="D45" s="186"/>
      <c r="E45" s="167" t="str">
        <f>IF((A45&gt;0),"PRIVATE LOANS ONLY","")</f>
        <v/>
      </c>
      <c r="F45" s="217"/>
      <c r="G45" s="205">
        <f>G44</f>
        <v>43</v>
      </c>
      <c r="H45" s="194">
        <f>ROUND((M45*L45*G45),0)</f>
        <v>6020</v>
      </c>
      <c r="I45" s="194">
        <f>ROUND((M45*L45*J45),0)</f>
        <v>7280</v>
      </c>
      <c r="J45" s="214">
        <f t="shared" si="0"/>
        <v>52</v>
      </c>
      <c r="K45" s="215" t="str">
        <f t="shared" si="0"/>
        <v>U</v>
      </c>
      <c r="L45" s="216">
        <f t="shared" si="0"/>
        <v>1.4</v>
      </c>
      <c r="M45" s="176">
        <f>'School DATA'!H13</f>
        <v>100</v>
      </c>
      <c r="N45" s="176" t="s">
        <v>1</v>
      </c>
      <c r="O45" s="176"/>
      <c r="P45" s="176"/>
      <c r="Q45" s="176"/>
      <c r="R45" s="176"/>
      <c r="S45" s="182"/>
      <c r="T45" s="183"/>
      <c r="U45" s="183"/>
      <c r="V45" s="183"/>
      <c r="W45" s="183"/>
      <c r="X45" s="183"/>
    </row>
    <row r="46" spans="1:24" s="184" customFormat="1" ht="18" x14ac:dyDescent="0.2">
      <c r="A46" s="439" t="s">
        <v>417</v>
      </c>
      <c r="B46" s="439"/>
      <c r="C46" s="303" t="str">
        <f>G58</f>
        <v>Your Cost of Attendance (Values rounded)</v>
      </c>
      <c r="D46" s="218" t="str">
        <f>H59</f>
        <v>$ (USD)</v>
      </c>
      <c r="E46" s="219"/>
      <c r="F46" s="213"/>
      <c r="G46" s="205"/>
      <c r="H46" s="194"/>
      <c r="I46" s="194"/>
      <c r="J46" s="214"/>
      <c r="K46" s="215">
        <f>M46*L46</f>
        <v>2800</v>
      </c>
      <c r="L46" s="216">
        <f>L45</f>
        <v>1.4</v>
      </c>
      <c r="M46" s="176">
        <f>'School DATA'!I19</f>
        <v>2000</v>
      </c>
      <c r="N46" s="220" t="s">
        <v>415</v>
      </c>
      <c r="O46" s="176"/>
      <c r="P46" s="176"/>
      <c r="Q46" s="176"/>
      <c r="R46" s="176"/>
      <c r="S46" s="182"/>
      <c r="T46" s="183"/>
      <c r="U46" s="183"/>
      <c r="V46" s="183"/>
      <c r="W46" s="183"/>
      <c r="X46" s="183"/>
    </row>
    <row r="47" spans="1:24" s="184" customFormat="1" ht="20.25" x14ac:dyDescent="0.2">
      <c r="A47" s="328"/>
      <c r="B47" s="328"/>
      <c r="C47" s="221" t="str">
        <f>G60</f>
        <v>Tuition Fees</v>
      </c>
      <c r="D47" s="222">
        <f>H60</f>
        <v>0</v>
      </c>
      <c r="E47" s="223"/>
      <c r="F47" s="224"/>
      <c r="G47" s="176"/>
      <c r="H47" s="194"/>
      <c r="I47" s="194"/>
      <c r="J47" s="176"/>
      <c r="K47" s="215">
        <f>M47*L47</f>
        <v>2906.3999999999996</v>
      </c>
      <c r="L47" s="216">
        <f>L46</f>
        <v>1.4</v>
      </c>
      <c r="M47" s="176">
        <f>'School DATA'!I22</f>
        <v>2076</v>
      </c>
      <c r="N47" s="176" t="s">
        <v>331</v>
      </c>
      <c r="O47" s="176"/>
      <c r="P47" s="176"/>
      <c r="Q47" s="176"/>
      <c r="R47" s="176"/>
      <c r="S47" s="182"/>
      <c r="T47" s="183"/>
      <c r="U47" s="183"/>
      <c r="V47" s="183"/>
      <c r="W47" s="183"/>
      <c r="X47" s="183"/>
    </row>
    <row r="48" spans="1:24" s="184" customFormat="1" ht="20.25" x14ac:dyDescent="0.2">
      <c r="A48" s="328"/>
      <c r="B48" s="328"/>
      <c r="C48" s="221" t="str">
        <f t="shared" ref="C48:C58" si="1">G61</f>
        <v>Room</v>
      </c>
      <c r="D48" s="222">
        <f t="shared" ref="D48:D56" si="2">H61</f>
        <v>21070</v>
      </c>
      <c r="E48" s="223"/>
      <c r="F48" s="225"/>
      <c r="G48" s="176"/>
      <c r="H48" s="204" t="s">
        <v>345</v>
      </c>
      <c r="I48" s="194"/>
      <c r="J48" s="176"/>
      <c r="K48" s="226" t="s">
        <v>75</v>
      </c>
      <c r="L48" s="176"/>
      <c r="M48" s="176"/>
      <c r="N48" s="176"/>
      <c r="O48" s="176"/>
      <c r="P48" s="176"/>
      <c r="Q48" s="176"/>
      <c r="R48" s="176"/>
      <c r="S48" s="182"/>
      <c r="T48" s="183"/>
      <c r="U48" s="183"/>
      <c r="V48" s="183"/>
      <c r="W48" s="183"/>
      <c r="X48" s="183"/>
    </row>
    <row r="49" spans="1:24" s="184" customFormat="1" ht="15" x14ac:dyDescent="0.2">
      <c r="A49" s="328"/>
      <c r="B49" s="328"/>
      <c r="C49" s="221" t="str">
        <f t="shared" si="1"/>
        <v>Board</v>
      </c>
      <c r="D49" s="222">
        <f t="shared" si="2"/>
        <v>8428</v>
      </c>
      <c r="E49" s="223"/>
      <c r="F49" s="225"/>
      <c r="G49" s="216">
        <f>D6</f>
        <v>1.4</v>
      </c>
      <c r="H49" s="416" t="s">
        <v>346</v>
      </c>
      <c r="I49" s="227">
        <f>IF((E62="Allow"),D62*G49,0)</f>
        <v>0</v>
      </c>
      <c r="J49" s="176"/>
      <c r="K49" s="176"/>
      <c r="L49" s="176" t="s">
        <v>77</v>
      </c>
      <c r="M49" s="176" t="s">
        <v>146</v>
      </c>
      <c r="N49" s="176" t="s">
        <v>151</v>
      </c>
      <c r="O49" s="176" t="s">
        <v>148</v>
      </c>
      <c r="P49" s="176"/>
      <c r="Q49" s="176"/>
      <c r="R49" s="176"/>
      <c r="S49" s="182"/>
      <c r="T49" s="183"/>
      <c r="U49" s="183"/>
      <c r="V49" s="183"/>
      <c r="W49" s="183"/>
      <c r="X49" s="183"/>
    </row>
    <row r="50" spans="1:24" s="184" customFormat="1" ht="15" x14ac:dyDescent="0.2">
      <c r="A50" s="328"/>
      <c r="B50" s="328"/>
      <c r="C50" s="221" t="str">
        <f t="shared" si="1"/>
        <v>Books</v>
      </c>
      <c r="D50" s="222">
        <f t="shared" si="2"/>
        <v>903</v>
      </c>
      <c r="E50" s="223"/>
      <c r="F50" s="225"/>
      <c r="G50" s="176">
        <f>G49</f>
        <v>1.4</v>
      </c>
      <c r="H50" s="416" t="s">
        <v>347</v>
      </c>
      <c r="I50" s="227">
        <f>IF((E63="Allow"),D63*G50,0)</f>
        <v>0</v>
      </c>
      <c r="J50" s="176"/>
      <c r="K50" s="176" t="s">
        <v>76</v>
      </c>
      <c r="L50" s="176"/>
      <c r="M50" s="176" t="s">
        <v>147</v>
      </c>
      <c r="N50" s="176" t="s">
        <v>34</v>
      </c>
      <c r="O50" s="176" t="s">
        <v>149</v>
      </c>
      <c r="P50" s="176"/>
      <c r="Q50" s="176"/>
      <c r="R50" s="176"/>
      <c r="S50" s="182"/>
      <c r="T50" s="183"/>
      <c r="U50" s="183"/>
      <c r="V50" s="183"/>
      <c r="W50" s="183"/>
      <c r="X50" s="183"/>
    </row>
    <row r="51" spans="1:24" s="184" customFormat="1" ht="15" x14ac:dyDescent="0.2">
      <c r="A51" s="328"/>
      <c r="B51" s="328"/>
      <c r="C51" s="221" t="str">
        <f t="shared" si="1"/>
        <v>Travel</v>
      </c>
      <c r="D51" s="222">
        <f t="shared" si="2"/>
        <v>2348</v>
      </c>
      <c r="E51" s="223"/>
      <c r="F51" s="225"/>
      <c r="G51" s="176">
        <f>G50</f>
        <v>1.4</v>
      </c>
      <c r="H51" s="416" t="s">
        <v>348</v>
      </c>
      <c r="I51" s="227">
        <f>IF((E64="Allow"),D64*G51,0)</f>
        <v>0</v>
      </c>
      <c r="J51" s="176"/>
      <c r="K51" s="176" t="s">
        <v>162</v>
      </c>
      <c r="L51" s="228">
        <f>'School DATA'!D38</f>
        <v>1.0569999999999999</v>
      </c>
      <c r="M51" s="228">
        <f>'School DATA'!E38</f>
        <v>0</v>
      </c>
      <c r="N51" s="228">
        <f>L51-M51</f>
        <v>1.0569999999999999</v>
      </c>
      <c r="O51" s="229">
        <f>N51*0.01</f>
        <v>1.057E-2</v>
      </c>
      <c r="P51" s="176"/>
      <c r="Q51" s="176"/>
      <c r="R51" s="176"/>
      <c r="S51" s="182"/>
      <c r="T51" s="183"/>
      <c r="U51" s="183"/>
      <c r="V51" s="183"/>
      <c r="W51" s="183"/>
      <c r="X51" s="183"/>
    </row>
    <row r="52" spans="1:24" s="184" customFormat="1" ht="15" x14ac:dyDescent="0.2">
      <c r="A52" s="328"/>
      <c r="B52" s="328"/>
      <c r="C52" s="221" t="str">
        <f t="shared" si="1"/>
        <v>Personal</v>
      </c>
      <c r="D52" s="222">
        <f t="shared" si="2"/>
        <v>6020</v>
      </c>
      <c r="E52" s="223"/>
      <c r="F52" s="225"/>
      <c r="G52" s="176">
        <f>G51</f>
        <v>1.4</v>
      </c>
      <c r="H52" s="416" t="s">
        <v>349</v>
      </c>
      <c r="I52" s="227">
        <f>IF((E65="Allow"),D65*G52,0)</f>
        <v>0</v>
      </c>
      <c r="J52" s="176"/>
      <c r="K52" s="176" t="s">
        <v>163</v>
      </c>
      <c r="L52" s="228">
        <f>'School DATA'!D39</f>
        <v>1.0569999999999999</v>
      </c>
      <c r="M52" s="228">
        <f>'School DATA'!E39</f>
        <v>0</v>
      </c>
      <c r="N52" s="228">
        <f>L52-M52</f>
        <v>1.0569999999999999</v>
      </c>
      <c r="O52" s="229">
        <f>N52*0.01</f>
        <v>1.057E-2</v>
      </c>
      <c r="P52" s="176"/>
      <c r="Q52" s="176"/>
      <c r="R52" s="176"/>
      <c r="S52" s="182"/>
      <c r="T52" s="183"/>
      <c r="U52" s="183"/>
      <c r="V52" s="183"/>
      <c r="W52" s="183"/>
      <c r="X52" s="183"/>
    </row>
    <row r="53" spans="1:24" s="184" customFormat="1" ht="15" x14ac:dyDescent="0.2">
      <c r="A53" s="328"/>
      <c r="B53" s="328"/>
      <c r="C53" s="221" t="str">
        <f t="shared" si="1"/>
        <v>Essential flights + health for all years (plus visa and laptop if 1st year)</v>
      </c>
      <c r="D53" s="222">
        <f t="shared" si="2"/>
        <v>5706.4</v>
      </c>
      <c r="E53" s="223"/>
      <c r="F53" s="225"/>
      <c r="G53" s="176">
        <f>G52</f>
        <v>1.4</v>
      </c>
      <c r="H53" s="194"/>
      <c r="I53" s="194"/>
      <c r="J53" s="176"/>
      <c r="K53" s="176" t="s">
        <v>164</v>
      </c>
      <c r="L53" s="228">
        <f>'School DATA'!D40</f>
        <v>4.2279999999999998</v>
      </c>
      <c r="M53" s="228">
        <f>'School DATA'!E40</f>
        <v>0</v>
      </c>
      <c r="N53" s="228">
        <f>L53-M53</f>
        <v>4.2279999999999998</v>
      </c>
      <c r="O53" s="229">
        <f>N53*0.01</f>
        <v>4.2279999999999998E-2</v>
      </c>
      <c r="P53" s="176"/>
      <c r="Q53" s="176"/>
      <c r="R53" s="176"/>
      <c r="S53" s="182"/>
      <c r="T53" s="183"/>
      <c r="U53" s="183"/>
      <c r="V53" s="183"/>
      <c r="W53" s="183"/>
      <c r="X53" s="183"/>
    </row>
    <row r="54" spans="1:24" s="184" customFormat="1" ht="15.75" x14ac:dyDescent="0.2">
      <c r="A54" s="328"/>
      <c r="B54" s="328"/>
      <c r="C54" s="230" t="str">
        <f t="shared" si="1"/>
        <v>Total Cost of Attendance</v>
      </c>
      <c r="D54" s="231">
        <f t="shared" si="2"/>
        <v>44475.4</v>
      </c>
      <c r="E54" s="232"/>
      <c r="F54" s="225"/>
      <c r="G54" s="176">
        <f>G53</f>
        <v>1.4</v>
      </c>
      <c r="H54" s="194" t="s">
        <v>350</v>
      </c>
      <c r="I54" s="233">
        <f>SUM(I49:I53)</f>
        <v>0</v>
      </c>
      <c r="J54" s="176"/>
      <c r="K54" s="176"/>
      <c r="L54" s="176"/>
      <c r="M54" s="176"/>
      <c r="N54" s="176"/>
      <c r="O54" s="176"/>
      <c r="P54" s="176"/>
      <c r="Q54" s="176"/>
      <c r="R54" s="176"/>
      <c r="S54" s="182"/>
      <c r="T54" s="183"/>
      <c r="U54" s="183"/>
      <c r="V54" s="183"/>
      <c r="W54" s="183"/>
      <c r="X54" s="183"/>
    </row>
    <row r="55" spans="1:24" s="184" customFormat="1" ht="15.75" x14ac:dyDescent="0.2">
      <c r="A55" s="328"/>
      <c r="B55" s="328"/>
      <c r="C55" s="221" t="str">
        <f t="shared" si="1"/>
        <v>Adjust for Sponsorship, Awards or other Aid</v>
      </c>
      <c r="D55" s="222">
        <f t="shared" si="2"/>
        <v>0</v>
      </c>
      <c r="E55" s="223"/>
      <c r="F55" s="234"/>
      <c r="G55" s="176"/>
      <c r="H55" s="194"/>
      <c r="I55" s="194"/>
      <c r="J55" s="176"/>
      <c r="K55" s="176"/>
      <c r="L55" s="176"/>
      <c r="M55" s="176"/>
      <c r="N55" s="176"/>
      <c r="O55" s="176"/>
      <c r="P55" s="176"/>
      <c r="Q55" s="176"/>
      <c r="R55" s="176"/>
      <c r="S55" s="182"/>
      <c r="T55" s="183"/>
      <c r="U55" s="183"/>
      <c r="V55" s="183"/>
      <c r="W55" s="183"/>
      <c r="X55" s="183"/>
    </row>
    <row r="56" spans="1:24" s="184" customFormat="1" ht="15.75" x14ac:dyDescent="0.2">
      <c r="A56" s="328"/>
      <c r="B56" s="328"/>
      <c r="C56" s="230" t="str">
        <f t="shared" si="1"/>
        <v>Total Cost of Attendance</v>
      </c>
      <c r="D56" s="235">
        <f t="shared" si="2"/>
        <v>44475</v>
      </c>
      <c r="E56" s="223"/>
      <c r="F56" s="225"/>
      <c r="G56" s="176"/>
      <c r="H56" s="194"/>
      <c r="I56" s="176"/>
      <c r="J56" s="176"/>
      <c r="K56" s="176"/>
      <c r="L56" s="176"/>
      <c r="M56" s="176"/>
      <c r="N56" s="176"/>
      <c r="O56" s="176"/>
      <c r="P56" s="176"/>
      <c r="Q56" s="176"/>
      <c r="R56" s="176"/>
      <c r="S56" s="182"/>
      <c r="T56" s="183"/>
      <c r="U56" s="183"/>
      <c r="V56" s="183"/>
      <c r="W56" s="183"/>
      <c r="X56" s="183"/>
    </row>
    <row r="57" spans="1:24" s="184" customFormat="1" ht="20.25" x14ac:dyDescent="0.2">
      <c r="A57" s="328"/>
      <c r="B57" s="328"/>
      <c r="C57" s="221" t="str">
        <f t="shared" si="1"/>
        <v>Approved Additional Items</v>
      </c>
      <c r="D57" s="236">
        <f>I54</f>
        <v>0</v>
      </c>
      <c r="E57" s="223"/>
      <c r="F57" s="225"/>
      <c r="G57" s="176"/>
      <c r="H57" s="176"/>
      <c r="I57" s="176"/>
      <c r="J57" s="226"/>
      <c r="K57" s="207" t="s">
        <v>46</v>
      </c>
      <c r="L57" s="207" t="s">
        <v>47</v>
      </c>
      <c r="M57" s="189" t="s">
        <v>166</v>
      </c>
      <c r="N57" s="189" t="s">
        <v>161</v>
      </c>
      <c r="O57" s="189"/>
      <c r="P57" s="176"/>
      <c r="Q57" s="176"/>
      <c r="R57" s="176"/>
      <c r="S57" s="182"/>
      <c r="T57" s="183"/>
      <c r="U57" s="183"/>
      <c r="V57" s="183"/>
      <c r="W57" s="183"/>
      <c r="X57" s="183"/>
    </row>
    <row r="58" spans="1:24" s="184" customFormat="1" ht="20.25" x14ac:dyDescent="0.2">
      <c r="A58" s="328"/>
      <c r="B58" s="328"/>
      <c r="C58" s="230" t="str">
        <f t="shared" si="1"/>
        <v>Final CoA including approved Additional Items</v>
      </c>
      <c r="D58" s="237">
        <f>H71</f>
        <v>44475</v>
      </c>
      <c r="E58" s="186"/>
      <c r="F58" s="225"/>
      <c r="G58" s="238" t="s">
        <v>309</v>
      </c>
      <c r="H58" s="189"/>
      <c r="I58" s="176"/>
      <c r="J58" s="176" t="s">
        <v>41</v>
      </c>
      <c r="K58" s="239">
        <f>H71</f>
        <v>44475</v>
      </c>
      <c r="L58" s="239"/>
      <c r="M58" s="176"/>
      <c r="N58" s="176"/>
      <c r="O58" s="189"/>
      <c r="P58" s="176"/>
      <c r="Q58" s="176"/>
      <c r="R58" s="176"/>
      <c r="S58" s="182"/>
      <c r="T58" s="183"/>
      <c r="U58" s="183"/>
      <c r="V58" s="183"/>
      <c r="W58" s="183"/>
      <c r="X58" s="183"/>
    </row>
    <row r="59" spans="1:24" s="184" customFormat="1" ht="20.25" x14ac:dyDescent="0.2">
      <c r="A59" s="328"/>
      <c r="B59" s="328"/>
      <c r="C59" s="240"/>
      <c r="D59" s="186"/>
      <c r="E59" s="186"/>
      <c r="F59" s="225"/>
      <c r="G59" s="176"/>
      <c r="H59" s="241" t="s">
        <v>399</v>
      </c>
      <c r="I59" s="176"/>
      <c r="J59" s="176" t="s">
        <v>42</v>
      </c>
      <c r="K59" s="239">
        <f>-D39</f>
        <v>0</v>
      </c>
      <c r="L59" s="239"/>
      <c r="M59" s="226"/>
      <c r="N59" s="176"/>
      <c r="O59" s="189"/>
      <c r="P59" s="176"/>
      <c r="Q59" s="176"/>
      <c r="R59" s="176"/>
      <c r="S59" s="182"/>
      <c r="T59" s="183"/>
      <c r="U59" s="242"/>
      <c r="V59" s="242"/>
      <c r="W59" s="183"/>
      <c r="X59" s="183"/>
    </row>
    <row r="60" spans="1:24" s="247" customFormat="1" ht="20.25" x14ac:dyDescent="0.2">
      <c r="A60" s="443" t="s">
        <v>418</v>
      </c>
      <c r="B60" s="443"/>
      <c r="C60" s="304" t="s">
        <v>455</v>
      </c>
      <c r="D60" s="243"/>
      <c r="E60" s="305" t="s">
        <v>332</v>
      </c>
      <c r="F60" s="225"/>
      <c r="G60" s="244" t="s">
        <v>23</v>
      </c>
      <c r="H60" s="245">
        <f>ROUND(H32,0)</f>
        <v>0</v>
      </c>
      <c r="I60" s="176"/>
      <c r="J60" s="176" t="s">
        <v>45</v>
      </c>
      <c r="K60" s="239">
        <f>IF((SUM(K58:K59)&gt;0),(SUM(K58:K59)),0)</f>
        <v>44475</v>
      </c>
      <c r="L60" s="239"/>
      <c r="M60" s="176"/>
      <c r="N60" s="239">
        <f>IF((K60&lt;K62),(K62-K60),0)</f>
        <v>0</v>
      </c>
      <c r="O60" s="176"/>
      <c r="P60" s="226"/>
      <c r="Q60" s="226"/>
      <c r="R60" s="226"/>
      <c r="S60" s="246"/>
      <c r="W60" s="242"/>
      <c r="X60" s="242"/>
    </row>
    <row r="61" spans="1:24" s="184" customFormat="1" ht="21" customHeight="1" x14ac:dyDescent="0.2">
      <c r="A61" s="328"/>
      <c r="B61" s="328"/>
      <c r="C61" s="412" t="s">
        <v>438</v>
      </c>
      <c r="D61" s="248" t="s">
        <v>481</v>
      </c>
      <c r="E61" s="249" t="s">
        <v>337</v>
      </c>
      <c r="F61" s="250"/>
      <c r="G61" s="244" t="s">
        <v>24</v>
      </c>
      <c r="H61" s="245">
        <f>ROUND((IF(K41="P",I41,H41)),0)</f>
        <v>21070</v>
      </c>
      <c r="I61" s="176"/>
      <c r="J61" s="176" t="s">
        <v>160</v>
      </c>
      <c r="K61" s="239">
        <f>IF((D29="Y"),0,G28)</f>
        <v>3500</v>
      </c>
      <c r="L61" s="239"/>
      <c r="M61" s="176"/>
      <c r="N61" s="176"/>
      <c r="O61" s="176"/>
      <c r="P61" s="176"/>
      <c r="Q61" s="176"/>
      <c r="R61" s="176"/>
      <c r="S61" s="182"/>
      <c r="T61" s="183"/>
      <c r="U61" s="183"/>
      <c r="V61" s="183"/>
      <c r="W61" s="183"/>
      <c r="X61" s="183"/>
    </row>
    <row r="62" spans="1:24" s="184" customFormat="1" ht="21" customHeight="1" x14ac:dyDescent="0.2">
      <c r="A62" s="328"/>
      <c r="B62" s="328"/>
      <c r="C62" s="131" t="s">
        <v>437</v>
      </c>
      <c r="D62" s="379">
        <v>0</v>
      </c>
      <c r="E62" s="223" t="s">
        <v>334</v>
      </c>
      <c r="F62" s="225"/>
      <c r="G62" s="244" t="s">
        <v>25</v>
      </c>
      <c r="H62" s="245">
        <f>ROUND((IF(K42="P",I42,H42)),0)</f>
        <v>8428</v>
      </c>
      <c r="I62" s="176"/>
      <c r="J62" s="189" t="s">
        <v>43</v>
      </c>
      <c r="K62" s="251">
        <f>IF((((K60/(100-N51))*100)&lt;K61),((K60/(100-N51))*100),K61)</f>
        <v>3500</v>
      </c>
      <c r="L62" s="239"/>
      <c r="M62" s="176">
        <f>IF((N60&gt;0),0,(K62*O51))</f>
        <v>36.994999999999997</v>
      </c>
      <c r="N62" s="176"/>
      <c r="O62" s="176"/>
      <c r="P62" s="176"/>
      <c r="Q62" s="176"/>
      <c r="R62" s="176"/>
      <c r="S62" s="182"/>
      <c r="T62" s="183"/>
      <c r="U62" s="183"/>
      <c r="V62" s="183"/>
      <c r="W62" s="183"/>
      <c r="X62" s="183"/>
    </row>
    <row r="63" spans="1:24" s="184" customFormat="1" ht="21" customHeight="1" x14ac:dyDescent="0.2">
      <c r="A63" s="328"/>
      <c r="B63" s="328"/>
      <c r="C63" s="413" t="s">
        <v>457</v>
      </c>
      <c r="D63" s="379">
        <v>0</v>
      </c>
      <c r="E63" s="223" t="s">
        <v>334</v>
      </c>
      <c r="F63" s="225"/>
      <c r="G63" s="244" t="s">
        <v>26</v>
      </c>
      <c r="H63" s="245">
        <f>ROUND((IF(K43="P",I43,H43)),0)</f>
        <v>903</v>
      </c>
      <c r="I63" s="176"/>
      <c r="J63" s="176"/>
      <c r="K63" s="239"/>
      <c r="L63" s="239"/>
      <c r="M63" s="176"/>
      <c r="N63" s="176"/>
      <c r="O63" s="176"/>
      <c r="P63" s="239"/>
      <c r="Q63" s="176"/>
      <c r="R63" s="176"/>
      <c r="S63" s="182"/>
      <c r="T63" s="183"/>
      <c r="U63" s="183"/>
      <c r="V63" s="183"/>
      <c r="W63" s="183"/>
      <c r="X63" s="183"/>
    </row>
    <row r="64" spans="1:24" s="184" customFormat="1" ht="21" customHeight="1" x14ac:dyDescent="0.2">
      <c r="A64" s="328"/>
      <c r="B64" s="328"/>
      <c r="C64" s="131" t="s">
        <v>427</v>
      </c>
      <c r="D64" s="379">
        <v>0</v>
      </c>
      <c r="E64" s="223" t="s">
        <v>334</v>
      </c>
      <c r="F64" s="225"/>
      <c r="G64" s="244" t="s">
        <v>27</v>
      </c>
      <c r="H64" s="245">
        <f>ROUND((IF(K44="P",I44,H44)),0)</f>
        <v>2348</v>
      </c>
      <c r="I64" s="176"/>
      <c r="J64" s="176" t="s">
        <v>49</v>
      </c>
      <c r="K64" s="239"/>
      <c r="L64" s="239">
        <f>IF((N60&gt;0),(K58+N60-K62),(K58-K62+M62))</f>
        <v>41011.995000000003</v>
      </c>
      <c r="M64" s="176"/>
      <c r="N64" s="239">
        <f>IF((((L66-L64)&gt;0)),(L66-L64),0)</f>
        <v>0</v>
      </c>
      <c r="O64" s="176"/>
      <c r="P64" s="176"/>
      <c r="Q64" s="176"/>
      <c r="R64" s="176"/>
      <c r="S64" s="182"/>
      <c r="T64" s="183"/>
      <c r="U64" s="183"/>
      <c r="V64" s="183"/>
      <c r="W64" s="183"/>
      <c r="X64" s="183"/>
    </row>
    <row r="65" spans="1:24" s="184" customFormat="1" ht="21" customHeight="1" thickBot="1" x14ac:dyDescent="0.25">
      <c r="A65" s="328"/>
      <c r="B65" s="328"/>
      <c r="C65" s="413" t="s">
        <v>458</v>
      </c>
      <c r="D65" s="379">
        <v>0</v>
      </c>
      <c r="E65" s="223" t="s">
        <v>334</v>
      </c>
      <c r="F65" s="225"/>
      <c r="G65" s="244" t="s">
        <v>1</v>
      </c>
      <c r="H65" s="245">
        <f>ROUND((IF(K45="P",I45,H45)),0)</f>
        <v>6020</v>
      </c>
      <c r="I65" s="176"/>
      <c r="J65" s="176" t="s">
        <v>48</v>
      </c>
      <c r="K65" s="239"/>
      <c r="L65" s="239">
        <f>IF((D29="Y"),0,(G28+I28-K62))</f>
        <v>2000</v>
      </c>
      <c r="M65" s="176"/>
      <c r="N65" s="176"/>
      <c r="O65" s="176"/>
      <c r="P65" s="176"/>
      <c r="Q65" s="176"/>
      <c r="R65" s="176"/>
      <c r="S65" s="182"/>
      <c r="T65" s="183"/>
      <c r="U65" s="183"/>
      <c r="V65" s="183"/>
      <c r="W65" s="183"/>
      <c r="X65" s="183"/>
    </row>
    <row r="66" spans="1:24" s="184" customFormat="1" ht="21" customHeight="1" thickBot="1" x14ac:dyDescent="0.25">
      <c r="A66" s="328"/>
      <c r="B66" s="328"/>
      <c r="C66" s="380" t="s">
        <v>439</v>
      </c>
      <c r="D66" s="252"/>
      <c r="E66" s="253"/>
      <c r="F66" s="225"/>
      <c r="G66" s="244" t="s">
        <v>370</v>
      </c>
      <c r="H66" s="254">
        <f>IF((D37=1),(K46+K47),K46)</f>
        <v>5706.4</v>
      </c>
      <c r="I66" s="176"/>
      <c r="J66" s="189" t="s">
        <v>44</v>
      </c>
      <c r="K66" s="251"/>
      <c r="L66" s="251">
        <f>IF((((L64/(100-N52))*100)&lt;L65),((L64/(100-N52))*100),L65)</f>
        <v>2000</v>
      </c>
      <c r="M66" s="176">
        <f>+IF((N64&gt;0),0,(L66*O52))</f>
        <v>21.14</v>
      </c>
      <c r="N66" s="176"/>
      <c r="O66" s="176"/>
      <c r="P66" s="176"/>
      <c r="Q66" s="176"/>
      <c r="R66" s="176"/>
      <c r="S66" s="182"/>
      <c r="T66" s="183"/>
      <c r="U66" s="183"/>
      <c r="V66" s="183"/>
      <c r="W66" s="183"/>
      <c r="X66" s="183"/>
    </row>
    <row r="67" spans="1:24" s="184" customFormat="1" ht="21" customHeight="1" x14ac:dyDescent="0.2">
      <c r="A67" s="328"/>
      <c r="B67" s="328"/>
      <c r="C67" s="414" t="s">
        <v>405</v>
      </c>
      <c r="D67" s="255">
        <f>SUM(D62:D65)</f>
        <v>0</v>
      </c>
      <c r="E67" s="256">
        <f>I54</f>
        <v>0</v>
      </c>
      <c r="F67" s="225"/>
      <c r="G67" s="257" t="s">
        <v>32</v>
      </c>
      <c r="H67" s="258">
        <f>SUM(H60:H66)</f>
        <v>44475.4</v>
      </c>
      <c r="I67" s="176"/>
      <c r="J67" s="176"/>
      <c r="K67" s="239"/>
      <c r="L67" s="239"/>
      <c r="M67" s="176"/>
      <c r="N67" s="176"/>
      <c r="O67" s="176"/>
      <c r="P67" s="176"/>
      <c r="Q67" s="189"/>
      <c r="R67" s="189"/>
      <c r="S67" s="259"/>
      <c r="T67" s="183"/>
      <c r="U67" s="183"/>
      <c r="V67" s="183"/>
      <c r="W67" s="183"/>
      <c r="X67" s="183"/>
    </row>
    <row r="68" spans="1:24" s="184" customFormat="1" ht="16.5" customHeight="1" x14ac:dyDescent="0.2">
      <c r="A68" s="328"/>
      <c r="B68" s="328"/>
      <c r="C68" s="260" t="str">
        <f>IF(((SUM(B31:B34))&gt;0),"As you will be in places not allowed by your government you are not entitled to Federal Loans - only private loans","")</f>
        <v/>
      </c>
      <c r="D68" s="248"/>
      <c r="E68" s="223"/>
      <c r="F68" s="225"/>
      <c r="G68" s="244" t="s">
        <v>51</v>
      </c>
      <c r="H68" s="245">
        <f>ROUND((-I37),0)</f>
        <v>0</v>
      </c>
      <c r="I68" s="176"/>
      <c r="J68" s="189" t="s">
        <v>157</v>
      </c>
      <c r="K68" s="239"/>
      <c r="L68" s="239"/>
      <c r="M68" s="189"/>
      <c r="N68" s="207"/>
      <c r="O68" s="176"/>
      <c r="P68" s="176"/>
      <c r="Q68" s="176"/>
      <c r="R68" s="176"/>
      <c r="S68" s="182"/>
      <c r="T68" s="183"/>
      <c r="U68" s="183"/>
      <c r="V68" s="183"/>
      <c r="W68" s="183"/>
      <c r="X68" s="183"/>
    </row>
    <row r="69" spans="1:24" s="269" customFormat="1" ht="18.75" thickBot="1" x14ac:dyDescent="0.25">
      <c r="A69" s="439" t="s">
        <v>419</v>
      </c>
      <c r="B69" s="439"/>
      <c r="C69" s="303" t="s">
        <v>308</v>
      </c>
      <c r="D69" s="261"/>
      <c r="E69" s="262"/>
      <c r="F69" s="263"/>
      <c r="G69" s="264" t="s">
        <v>32</v>
      </c>
      <c r="H69" s="265">
        <f>ROUND((SUM(H67:H68)),0)</f>
        <v>44475</v>
      </c>
      <c r="I69" s="176"/>
      <c r="J69" s="176" t="s">
        <v>158</v>
      </c>
      <c r="K69" s="239">
        <f>IF((N64=0),(K58-K62-L66+M62+M66),0)</f>
        <v>39033.135000000002</v>
      </c>
      <c r="L69" s="239"/>
      <c r="M69" s="266"/>
      <c r="N69" s="266"/>
      <c r="O69" s="267"/>
      <c r="P69" s="189"/>
      <c r="Q69" s="176"/>
      <c r="R69" s="176"/>
      <c r="S69" s="182"/>
      <c r="T69" s="268"/>
      <c r="U69" s="268"/>
      <c r="V69" s="268"/>
      <c r="W69" s="268"/>
      <c r="X69" s="268"/>
    </row>
    <row r="70" spans="1:24" s="184" customFormat="1" ht="18.75" thickTop="1" x14ac:dyDescent="0.2">
      <c r="A70" s="328"/>
      <c r="B70" s="328"/>
      <c r="C70" s="335" t="str">
        <f>IF((A45&gt;0),"",(IF((D34="N"),L28,G76)))</f>
        <v>Subsidized - Adjusted by EFC</v>
      </c>
      <c r="D70" s="336">
        <f>IF((A45&gt;0),0,H76)</f>
        <v>3500</v>
      </c>
      <c r="E70" s="223" t="str">
        <f>IF((N60&gt;0),"Grossed up for fees","")</f>
        <v/>
      </c>
      <c r="F70" s="225"/>
      <c r="G70" s="176" t="s">
        <v>338</v>
      </c>
      <c r="H70" s="239">
        <f>SUM(I49:I52)</f>
        <v>0</v>
      </c>
      <c r="I70" s="176"/>
      <c r="J70" s="176"/>
      <c r="K70" s="239"/>
      <c r="L70" s="239"/>
      <c r="M70" s="266"/>
      <c r="N70" s="266"/>
      <c r="O70" s="270"/>
      <c r="P70" s="176"/>
      <c r="Q70" s="176"/>
      <c r="R70" s="176"/>
      <c r="S70" s="182"/>
      <c r="T70" s="183"/>
      <c r="U70" s="183"/>
      <c r="V70" s="183"/>
      <c r="W70" s="183"/>
      <c r="X70" s="183"/>
    </row>
    <row r="71" spans="1:24" s="184" customFormat="1" ht="18" customHeight="1" thickBot="1" x14ac:dyDescent="0.25">
      <c r="A71" s="328"/>
      <c r="B71" s="328"/>
      <c r="C71" s="335" t="str">
        <f>IF((A45&gt;0),"",G77)</f>
        <v>Unsubsidized</v>
      </c>
      <c r="D71" s="336">
        <f>IF((A45&gt;0),0,H77)</f>
        <v>2000</v>
      </c>
      <c r="E71" s="223" t="str">
        <f>IF((N64&gt;0),"Grossed up for fees","")</f>
        <v/>
      </c>
      <c r="F71" s="225"/>
      <c r="G71" s="271" t="s">
        <v>339</v>
      </c>
      <c r="H71" s="272">
        <f>SUM(H69:H70)</f>
        <v>44475</v>
      </c>
      <c r="I71" s="176"/>
      <c r="J71" s="176" t="s">
        <v>159</v>
      </c>
      <c r="K71" s="239">
        <f>IF((D29="Y"),0,(H5-K62-L66))</f>
        <v>94989</v>
      </c>
      <c r="L71" s="239" t="s">
        <v>375</v>
      </c>
      <c r="M71" s="176"/>
      <c r="N71" s="266"/>
      <c r="O71" s="270"/>
      <c r="P71" s="176"/>
      <c r="Q71" s="176"/>
      <c r="R71" s="176"/>
      <c r="S71" s="182"/>
      <c r="T71" s="183"/>
      <c r="U71" s="183"/>
      <c r="V71" s="183"/>
      <c r="W71" s="183"/>
      <c r="X71" s="183"/>
    </row>
    <row r="72" spans="1:24" s="184" customFormat="1" ht="15.6" customHeight="1" thickTop="1" x14ac:dyDescent="0.2">
      <c r="A72" s="440" t="s">
        <v>443</v>
      </c>
      <c r="B72" s="441"/>
      <c r="C72" s="335" t="str">
        <f>G78</f>
        <v/>
      </c>
      <c r="D72" s="336"/>
      <c r="E72" s="273"/>
      <c r="F72" s="225"/>
      <c r="G72" s="176"/>
      <c r="H72" s="176"/>
      <c r="I72" s="176"/>
      <c r="J72" s="176"/>
      <c r="K72" s="239"/>
      <c r="L72" s="239"/>
      <c r="M72" s="176"/>
      <c r="N72" s="176"/>
      <c r="O72" s="270"/>
      <c r="P72" s="176"/>
      <c r="Q72" s="176"/>
      <c r="R72" s="176"/>
      <c r="S72" s="182"/>
      <c r="T72" s="183"/>
      <c r="U72" s="183"/>
      <c r="V72" s="183"/>
      <c r="W72" s="183"/>
      <c r="X72" s="183"/>
    </row>
    <row r="73" spans="1:24" s="184" customFormat="1" ht="15" customHeight="1" x14ac:dyDescent="0.2">
      <c r="A73" s="442" t="s">
        <v>444</v>
      </c>
      <c r="B73" s="442"/>
      <c r="C73" s="335" t="str">
        <f>IF((A45&gt;0),"",G79)</f>
        <v>Maximum PLUS Loan allowed for this CoA before grossing up for fees</v>
      </c>
      <c r="D73" s="336">
        <f>IF((A45&gt;0),0,H79)</f>
        <v>38975</v>
      </c>
      <c r="E73" s="186"/>
      <c r="F73" s="225"/>
      <c r="G73" s="176"/>
      <c r="H73" s="176"/>
      <c r="I73" s="176"/>
      <c r="J73" s="189" t="s">
        <v>50</v>
      </c>
      <c r="K73" s="251">
        <f>IF((D28="Y"),0,(IF((((K69/(100-N53)*100))&lt;K71),((K69/(100-N53)*100)),(((K71+M62+M66)/(100-N53))*100))))</f>
        <v>40756.311865680997</v>
      </c>
      <c r="L73" s="239"/>
      <c r="M73" s="274"/>
      <c r="N73" s="176"/>
      <c r="O73" s="176"/>
      <c r="P73" s="176"/>
      <c r="Q73" s="176"/>
      <c r="R73" s="176"/>
      <c r="S73" s="182"/>
      <c r="T73" s="183"/>
      <c r="U73" s="183"/>
      <c r="V73" s="183"/>
      <c r="W73" s="183"/>
      <c r="X73" s="183"/>
    </row>
    <row r="74" spans="1:24" s="184" customFormat="1" ht="20.25" x14ac:dyDescent="0.2">
      <c r="A74" s="442"/>
      <c r="B74" s="442"/>
      <c r="C74" s="337" t="str">
        <f>G81</f>
        <v/>
      </c>
      <c r="D74" s="415">
        <f>H81</f>
        <v>0</v>
      </c>
      <c r="E74" s="223"/>
      <c r="F74" s="198"/>
      <c r="G74" s="275" t="s">
        <v>275</v>
      </c>
      <c r="H74" s="276" t="s">
        <v>22</v>
      </c>
      <c r="I74" s="176"/>
      <c r="J74" s="176"/>
      <c r="K74" s="176"/>
      <c r="L74" s="239"/>
      <c r="M74" s="277"/>
      <c r="N74" s="274"/>
      <c r="O74" s="176"/>
      <c r="P74" s="176"/>
      <c r="Q74" s="176"/>
      <c r="R74" s="176"/>
      <c r="S74" s="182"/>
      <c r="T74" s="183"/>
      <c r="U74" s="183"/>
      <c r="V74" s="183"/>
      <c r="W74" s="183"/>
      <c r="X74" s="183"/>
    </row>
    <row r="75" spans="1:24" s="184" customFormat="1" ht="20.25" x14ac:dyDescent="0.2">
      <c r="A75" s="328"/>
      <c r="B75" s="328"/>
      <c r="C75" s="338" t="str">
        <f>IF((A45&gt;0),"",G82)</f>
        <v>Total Eligible before adjustment for Fees</v>
      </c>
      <c r="D75" s="339">
        <f>IF((A45&gt;0),0,H82)</f>
        <v>44475</v>
      </c>
      <c r="E75" s="223"/>
      <c r="F75" s="225"/>
      <c r="G75" s="275" t="s">
        <v>285</v>
      </c>
      <c r="H75" s="276"/>
      <c r="I75" s="176"/>
      <c r="J75" s="189" t="s">
        <v>280</v>
      </c>
      <c r="K75" s="176"/>
      <c r="L75" s="176"/>
      <c r="M75" s="277"/>
      <c r="N75" s="278"/>
      <c r="O75" s="176"/>
      <c r="P75" s="176"/>
      <c r="Q75" s="176"/>
      <c r="R75" s="176"/>
      <c r="S75" s="182"/>
      <c r="T75" s="183"/>
      <c r="U75" s="183"/>
      <c r="V75" s="183"/>
      <c r="W75" s="183"/>
      <c r="X75" s="183"/>
    </row>
    <row r="76" spans="1:24" s="184" customFormat="1" ht="18" x14ac:dyDescent="0.2">
      <c r="A76" s="439" t="s">
        <v>420</v>
      </c>
      <c r="B76" s="439"/>
      <c r="C76" s="306" t="s">
        <v>461</v>
      </c>
      <c r="D76" s="279"/>
      <c r="E76" s="279"/>
      <c r="F76" s="225"/>
      <c r="G76" s="244" t="s">
        <v>414</v>
      </c>
      <c r="H76" s="239">
        <f>K62</f>
        <v>3500</v>
      </c>
      <c r="I76" s="176"/>
      <c r="J76" s="176">
        <f>(IF(AND(D35="N",D34="Y"),1,0))+(IF((D38="I"),1,0))</f>
        <v>1</v>
      </c>
      <c r="K76" s="176" t="s">
        <v>284</v>
      </c>
      <c r="L76" s="176"/>
      <c r="M76" s="277"/>
      <c r="N76" s="278"/>
      <c r="O76" s="176"/>
      <c r="P76" s="239"/>
      <c r="Q76" s="176"/>
      <c r="R76" s="176"/>
      <c r="S76" s="182"/>
      <c r="T76" s="183"/>
      <c r="U76" s="183"/>
      <c r="V76" s="183"/>
      <c r="W76" s="183"/>
      <c r="X76" s="183"/>
    </row>
    <row r="77" spans="1:24" s="184" customFormat="1" ht="15.75" x14ac:dyDescent="0.2">
      <c r="A77" s="328"/>
      <c r="B77" s="328"/>
      <c r="C77" s="280" t="str">
        <f>IF(H67&gt;H5, I95,"  ")</f>
        <v xml:space="preserve">  </v>
      </c>
      <c r="D77" s="281"/>
      <c r="E77" s="281"/>
      <c r="F77" s="234"/>
      <c r="G77" s="244" t="s">
        <v>413</v>
      </c>
      <c r="H77" s="239">
        <f>L66</f>
        <v>2000</v>
      </c>
      <c r="I77" s="176"/>
      <c r="J77" s="176"/>
      <c r="K77" s="176"/>
      <c r="L77" s="176"/>
      <c r="M77" s="176"/>
      <c r="N77" s="176"/>
      <c r="O77" s="176"/>
      <c r="P77" s="239"/>
      <c r="Q77" s="176"/>
      <c r="R77" s="176"/>
      <c r="S77" s="182"/>
      <c r="T77" s="183"/>
      <c r="U77" s="183"/>
      <c r="V77" s="183"/>
      <c r="W77" s="183"/>
      <c r="X77" s="183"/>
    </row>
    <row r="78" spans="1:24" s="184" customFormat="1" ht="15.75" x14ac:dyDescent="0.2">
      <c r="A78" s="328"/>
      <c r="B78" s="328"/>
      <c r="C78" s="282" t="str">
        <f>IF((A45&gt;0),"",(IF(H67&gt;H5, I96,I97)))</f>
        <v>You are allowed to borrow up to the values above</v>
      </c>
      <c r="D78" s="281"/>
      <c r="E78" s="281"/>
      <c r="F78" s="234"/>
      <c r="G78" s="244" t="str">
        <f>IF((J76=2),K76,(IF((H69&gt;H5),"PLUS Loan to fulfil this CoA","")))</f>
        <v/>
      </c>
      <c r="H78" s="176"/>
      <c r="I78" s="176"/>
      <c r="J78" s="176"/>
      <c r="K78" s="176"/>
      <c r="L78" s="176"/>
      <c r="M78" s="176"/>
      <c r="N78" s="176"/>
      <c r="O78" s="176"/>
      <c r="P78" s="176"/>
      <c r="Q78" s="176"/>
      <c r="R78" s="176"/>
      <c r="S78" s="182"/>
      <c r="T78" s="183"/>
      <c r="U78" s="183"/>
      <c r="V78" s="183"/>
      <c r="W78" s="183"/>
      <c r="X78" s="183"/>
    </row>
    <row r="79" spans="1:24" s="184" customFormat="1" ht="18" x14ac:dyDescent="0.2">
      <c r="A79" s="443" t="s">
        <v>421</v>
      </c>
      <c r="B79" s="443"/>
      <c r="C79" s="381" t="str">
        <f>IF((D27=G12),"THIS SECTION DOES NOT APPLY TO SALLIE MAE LOANS","YOU TELL US HOW MUCH WOULD YOU LIKE TO BORROW - YOU MAY REDUCE THE FIGURES IN BLUE")</f>
        <v>YOU TELL US HOW MUCH WOULD YOU LIKE TO BORROW - YOU MAY REDUCE THE FIGURES IN BLUE</v>
      </c>
      <c r="D79" s="382"/>
      <c r="E79" s="382"/>
      <c r="F79" s="234"/>
      <c r="G79" s="244" t="str">
        <f>IF((J76=2),"","Maximum PLUS Loan allowed for this CoA before grossing up for fees")</f>
        <v>Maximum PLUS Loan allowed for this CoA before grossing up for fees</v>
      </c>
      <c r="H79" s="283">
        <f>IF((J76=2),"",(IF((K69&lt;K71),(K69-M66-M62),K71)))</f>
        <v>38975</v>
      </c>
      <c r="I79" s="189"/>
      <c r="J79" s="176"/>
      <c r="K79" s="176"/>
      <c r="L79" s="176"/>
      <c r="M79" s="176"/>
      <c r="N79" s="176"/>
      <c r="O79" s="176"/>
      <c r="P79" s="176"/>
      <c r="Q79" s="176"/>
      <c r="R79" s="176"/>
      <c r="S79" s="182"/>
      <c r="T79" s="183"/>
      <c r="U79" s="183"/>
      <c r="V79" s="183"/>
      <c r="W79" s="183"/>
      <c r="X79" s="183"/>
    </row>
    <row r="80" spans="1:24" s="184" customFormat="1" ht="53.25" customHeight="1" x14ac:dyDescent="0.2">
      <c r="A80" s="383" t="s">
        <v>302</v>
      </c>
      <c r="B80" s="384" t="s">
        <v>150</v>
      </c>
      <c r="C80" s="385" t="s">
        <v>168</v>
      </c>
      <c r="D80" s="386" t="s">
        <v>473</v>
      </c>
      <c r="E80" s="387" t="s">
        <v>459</v>
      </c>
      <c r="F80" s="225"/>
      <c r="G80" s="244" t="s">
        <v>291</v>
      </c>
      <c r="H80" s="283"/>
      <c r="I80" s="176" t="s">
        <v>368</v>
      </c>
      <c r="J80" s="176" t="s">
        <v>369</v>
      </c>
      <c r="K80" s="176"/>
      <c r="L80" s="176"/>
      <c r="M80" s="176"/>
      <c r="N80" s="176"/>
      <c r="O80" s="176"/>
      <c r="P80" s="176"/>
      <c r="Q80" s="176"/>
      <c r="R80" s="176"/>
      <c r="S80" s="182"/>
      <c r="T80" s="183"/>
      <c r="U80" s="183"/>
      <c r="V80" s="183"/>
      <c r="W80" s="183"/>
      <c r="X80" s="183"/>
    </row>
    <row r="81" spans="1:32" s="184" customFormat="1" ht="15.75" x14ac:dyDescent="0.2">
      <c r="A81" s="388">
        <f>IF((A45&gt;0),0,(IF((D27=G12),0,G89)))</f>
        <v>3500</v>
      </c>
      <c r="B81" s="389">
        <f>O51</f>
        <v>1.057E-2</v>
      </c>
      <c r="C81" s="335" t="str">
        <f>C70</f>
        <v>Subsidized - Adjusted by EFC</v>
      </c>
      <c r="D81" s="340">
        <f>A81</f>
        <v>3500</v>
      </c>
      <c r="E81" s="447">
        <f>ROUND(((D81*(1-O51))),0)</f>
        <v>3463</v>
      </c>
      <c r="F81" s="417"/>
      <c r="G81" s="418" t="str">
        <f>IF((H81&gt;1),("Private (Salie Mae) Loan"),"")</f>
        <v/>
      </c>
      <c r="H81" s="419">
        <f>MAX(I81:J81)</f>
        <v>0</v>
      </c>
      <c r="I81" s="176" t="str">
        <f>IF((D29="Y"),H71,"")</f>
        <v/>
      </c>
      <c r="J81" s="176" t="str">
        <f>IF((D28="Y"),(H79+M62+M66),"")</f>
        <v/>
      </c>
      <c r="K81" s="176"/>
      <c r="L81" s="176"/>
      <c r="M81" s="176"/>
      <c r="N81" s="176"/>
      <c r="O81" s="176"/>
      <c r="P81" s="176"/>
      <c r="Q81" s="176"/>
      <c r="R81" s="176"/>
      <c r="S81" s="182"/>
      <c r="T81" s="183"/>
      <c r="U81" s="183"/>
      <c r="V81" s="183"/>
      <c r="W81" s="183"/>
      <c r="X81" s="183"/>
    </row>
    <row r="82" spans="1:32" s="286" customFormat="1" ht="16.5" thickBot="1" x14ac:dyDescent="0.25">
      <c r="A82" s="388">
        <f>IF((A45&gt;0),0,(IF((D27=G12),0,G90)))</f>
        <v>2000</v>
      </c>
      <c r="B82" s="389">
        <f>O52</f>
        <v>1.057E-2</v>
      </c>
      <c r="C82" s="335" t="s">
        <v>413</v>
      </c>
      <c r="D82" s="340">
        <f>A82</f>
        <v>2000</v>
      </c>
      <c r="E82" s="447">
        <f>ROUND(((D82*(1-O52))),0)</f>
        <v>1979</v>
      </c>
      <c r="F82" s="417"/>
      <c r="G82" s="264" t="s">
        <v>153</v>
      </c>
      <c r="H82" s="284">
        <f>SUM(H76:H80)</f>
        <v>44475</v>
      </c>
      <c r="I82" s="285"/>
      <c r="J82" s="285"/>
      <c r="K82" s="285"/>
      <c r="L82" s="285"/>
      <c r="M82" s="285"/>
      <c r="N82" s="285"/>
      <c r="O82" s="285"/>
      <c r="P82" s="267"/>
      <c r="Q82" s="267"/>
      <c r="R82" s="176"/>
      <c r="S82" s="182"/>
      <c r="T82" s="183"/>
      <c r="U82" s="183"/>
      <c r="V82" s="183"/>
      <c r="W82" s="183"/>
      <c r="X82" s="183"/>
      <c r="Y82" s="184"/>
      <c r="Z82" s="184"/>
      <c r="AA82" s="184"/>
      <c r="AB82" s="184"/>
      <c r="AC82" s="184"/>
      <c r="AD82" s="184"/>
      <c r="AE82" s="184"/>
      <c r="AF82" s="184"/>
    </row>
    <row r="83" spans="1:32" s="290" customFormat="1" ht="18.75" thickTop="1" x14ac:dyDescent="0.2">
      <c r="A83" s="388">
        <f>G91</f>
        <v>0</v>
      </c>
      <c r="B83" s="389">
        <v>0</v>
      </c>
      <c r="C83" s="335" t="str">
        <f>G81</f>
        <v/>
      </c>
      <c r="D83" s="340">
        <f>G91</f>
        <v>0</v>
      </c>
      <c r="E83" s="447">
        <f>H91</f>
        <v>0</v>
      </c>
      <c r="F83" s="417"/>
      <c r="G83" s="419"/>
      <c r="H83" s="419"/>
      <c r="I83" s="176"/>
      <c r="J83" s="287"/>
      <c r="K83" s="287"/>
      <c r="L83" s="287"/>
      <c r="M83" s="287"/>
      <c r="N83" s="287"/>
      <c r="O83" s="287"/>
      <c r="P83" s="270"/>
      <c r="Q83" s="270"/>
      <c r="R83" s="267"/>
      <c r="S83" s="288"/>
      <c r="T83" s="289"/>
      <c r="U83" s="289"/>
      <c r="V83" s="289"/>
      <c r="W83" s="289"/>
      <c r="X83" s="289"/>
      <c r="Y83" s="286"/>
      <c r="Z83" s="286"/>
      <c r="AA83" s="286"/>
      <c r="AB83" s="286"/>
      <c r="AC83" s="286"/>
      <c r="AD83" s="286"/>
      <c r="AE83" s="286"/>
      <c r="AF83" s="286"/>
    </row>
    <row r="84" spans="1:32" s="293" customFormat="1" ht="18" x14ac:dyDescent="0.2">
      <c r="A84" s="388">
        <f>IF((A45&gt;0),0,(IF((D27=G12),0,G92)))</f>
        <v>40756</v>
      </c>
      <c r="B84" s="389">
        <f>O53</f>
        <v>4.2279999999999998E-2</v>
      </c>
      <c r="C84" s="335" t="str">
        <f>IF((J76=2),K76,"PLUS Loan (Adjusted up to include all fees)")</f>
        <v>PLUS Loan (Adjusted up to include all fees)</v>
      </c>
      <c r="D84" s="340">
        <f>IF((A84=""),0,((ROUND(A84,0))))</f>
        <v>40756</v>
      </c>
      <c r="E84" s="447">
        <f>ROUND(((D84*(1-O53))),0)</f>
        <v>39033</v>
      </c>
      <c r="F84" s="420" t="str">
        <f>IF((D81&gt;A81),("You cannot borrow more than  "&amp;A81),"")</f>
        <v/>
      </c>
      <c r="G84" s="270"/>
      <c r="H84" s="267" t="s">
        <v>53</v>
      </c>
      <c r="I84" s="176"/>
      <c r="J84" s="287"/>
      <c r="K84" s="287"/>
      <c r="L84" s="287"/>
      <c r="M84" s="287"/>
      <c r="N84" s="287"/>
      <c r="O84" s="287"/>
      <c r="P84" s="270"/>
      <c r="Q84" s="270"/>
      <c r="R84" s="270"/>
      <c r="S84" s="291"/>
      <c r="T84" s="292"/>
      <c r="U84" s="292"/>
      <c r="V84" s="292"/>
      <c r="W84" s="292"/>
      <c r="X84" s="292"/>
      <c r="Y84" s="290"/>
      <c r="Z84" s="290"/>
      <c r="AA84" s="290"/>
      <c r="AB84" s="290"/>
      <c r="AC84" s="290"/>
      <c r="AD84" s="290"/>
      <c r="AE84" s="290"/>
      <c r="AF84" s="290"/>
    </row>
    <row r="85" spans="1:32" s="293" customFormat="1" ht="18" x14ac:dyDescent="0.2">
      <c r="A85" s="388">
        <f>IF((A45&gt;0),0,(IF((D27=G12),0,G93)))</f>
        <v>46256</v>
      </c>
      <c r="B85" s="390"/>
      <c r="C85" s="391" t="s">
        <v>460</v>
      </c>
      <c r="D85" s="392">
        <f>SUM(D81:D84)</f>
        <v>46256</v>
      </c>
      <c r="E85" s="392">
        <f>SUM(E81:E84)</f>
        <v>44475</v>
      </c>
      <c r="F85" s="420" t="str">
        <f>IF((D82&gt;A82),("You cannot borrow more than  "&amp;A82),"")</f>
        <v/>
      </c>
      <c r="G85" s="270"/>
      <c r="H85" s="267" t="s">
        <v>54</v>
      </c>
      <c r="I85" s="176"/>
      <c r="J85" s="287"/>
      <c r="K85" s="287"/>
      <c r="L85" s="287"/>
      <c r="M85" s="287"/>
      <c r="N85" s="287"/>
      <c r="O85" s="287"/>
      <c r="P85" s="270"/>
      <c r="Q85" s="270"/>
      <c r="R85" s="270"/>
      <c r="S85" s="291"/>
      <c r="T85" s="294"/>
      <c r="U85" s="294"/>
      <c r="V85" s="294"/>
      <c r="W85" s="294"/>
      <c r="X85" s="294"/>
    </row>
    <row r="86" spans="1:32" s="295" customFormat="1" ht="18" x14ac:dyDescent="0.2">
      <c r="A86" s="438" t="s">
        <v>422</v>
      </c>
      <c r="B86" s="438"/>
      <c r="C86" s="393" t="str">
        <f>IF((A45&gt;0),"",(IF((D85&lt;(H5*1.04)),I99,I101)))</f>
        <v>We will check everything you have provided with the USDE data and regulations</v>
      </c>
      <c r="D86" s="394"/>
      <c r="E86" s="394"/>
      <c r="F86" s="420" t="str">
        <f>IF((D84&gt;A84),("You cannot borrow more than  "&amp;ROUND(A84,2)),"")</f>
        <v/>
      </c>
      <c r="G86" s="176"/>
      <c r="H86" s="267" t="s">
        <v>52</v>
      </c>
      <c r="I86" s="176"/>
      <c r="J86" s="419"/>
      <c r="K86" s="419"/>
      <c r="L86" s="419"/>
      <c r="M86" s="419"/>
      <c r="N86" s="419"/>
      <c r="O86" s="419"/>
      <c r="P86" s="176"/>
      <c r="Q86" s="176"/>
      <c r="R86" s="270"/>
      <c r="S86" s="291"/>
      <c r="T86" s="294"/>
      <c r="U86" s="294"/>
      <c r="V86" s="294"/>
      <c r="W86" s="294"/>
      <c r="X86" s="294"/>
      <c r="Y86" s="293"/>
      <c r="Z86" s="293"/>
      <c r="AA86" s="293"/>
      <c r="AB86" s="293"/>
      <c r="AC86" s="293"/>
      <c r="AD86" s="293"/>
      <c r="AE86" s="293"/>
      <c r="AF86" s="293"/>
    </row>
    <row r="87" spans="1:32" s="295" customFormat="1" ht="24.75" customHeight="1" x14ac:dyDescent="0.2">
      <c r="A87" s="328"/>
      <c r="B87" s="328"/>
      <c r="C87" s="395" t="str">
        <f>IF((A45&gt;0),"",(IF((D85&lt;(H5*1.04)),I100,I107)))</f>
        <v>If everything is correct we will originate your loans and issue a certificate for visa application</v>
      </c>
      <c r="D87" s="186"/>
      <c r="E87" s="240"/>
      <c r="F87" s="421" t="str">
        <f>IF((D85&gt;A85),("You cannot borrow more than  "&amp;ROUND(A85,2)),"")</f>
        <v/>
      </c>
      <c r="G87" s="176"/>
      <c r="H87" s="270"/>
      <c r="I87" s="176"/>
      <c r="J87" s="419"/>
      <c r="K87" s="419"/>
      <c r="L87" s="419"/>
      <c r="M87" s="419"/>
      <c r="N87" s="419"/>
      <c r="O87" s="419"/>
      <c r="P87" s="176"/>
      <c r="Q87" s="176"/>
      <c r="R87" s="176"/>
      <c r="S87" s="182"/>
      <c r="T87" s="296"/>
      <c r="U87" s="296"/>
      <c r="V87" s="296"/>
      <c r="W87" s="296"/>
      <c r="X87" s="296"/>
    </row>
    <row r="88" spans="1:32" s="295" customFormat="1" ht="24.75" customHeight="1" x14ac:dyDescent="0.2">
      <c r="A88" s="328"/>
      <c r="B88" s="328"/>
      <c r="C88" s="395" t="str">
        <f>IF((A45&gt;0),"REMEMBER - TELL US WHEN YOU HAVE DONE YOUR SALLIE MAE APPLICATION SO WE CAN CERTIFY IT","")</f>
        <v/>
      </c>
      <c r="D88" s="186"/>
      <c r="E88" s="396" t="str">
        <f>IF((E85&lt;&gt;D75),"Includes $"&amp;(ROUND((E85-D75),0))&amp;" rounding differences","")</f>
        <v/>
      </c>
      <c r="F88" s="297"/>
      <c r="G88" s="422" t="s">
        <v>128</v>
      </c>
      <c r="H88" s="423" t="s">
        <v>88</v>
      </c>
      <c r="I88" s="176"/>
      <c r="J88" s="419"/>
      <c r="K88" s="419"/>
      <c r="L88" s="419"/>
      <c r="M88" s="419"/>
      <c r="N88" s="419"/>
      <c r="O88" s="419"/>
      <c r="P88" s="176"/>
      <c r="Q88" s="176"/>
      <c r="R88" s="176"/>
      <c r="S88" s="182"/>
      <c r="T88" s="296"/>
      <c r="U88" s="296"/>
      <c r="V88" s="296"/>
      <c r="W88" s="296"/>
      <c r="X88" s="296"/>
    </row>
    <row r="89" spans="1:32" s="295" customFormat="1" ht="18" x14ac:dyDescent="0.2">
      <c r="A89" s="438" t="s">
        <v>462</v>
      </c>
      <c r="B89" s="438"/>
      <c r="C89" s="397" t="s">
        <v>317</v>
      </c>
      <c r="D89" s="398"/>
      <c r="E89" s="398"/>
      <c r="F89" s="297"/>
      <c r="G89" s="424">
        <f>ROUND(K62,0)</f>
        <v>3500</v>
      </c>
      <c r="H89" s="425">
        <f>ROUND(((G89*(1-O51))),0)</f>
        <v>3463</v>
      </c>
      <c r="I89" s="176" t="s">
        <v>372</v>
      </c>
      <c r="J89" s="419"/>
      <c r="K89" s="419"/>
      <c r="L89" s="419"/>
      <c r="M89" s="419"/>
      <c r="N89" s="419"/>
      <c r="O89" s="419"/>
      <c r="P89" s="176"/>
      <c r="Q89" s="176"/>
      <c r="R89" s="176"/>
      <c r="S89" s="182"/>
      <c r="T89" s="296"/>
      <c r="U89" s="296"/>
      <c r="V89" s="296"/>
      <c r="W89" s="296"/>
      <c r="X89" s="296"/>
    </row>
    <row r="90" spans="1:32" s="295" customFormat="1" ht="21.75" customHeight="1" x14ac:dyDescent="0.2">
      <c r="A90" s="328"/>
      <c r="B90" s="399">
        <f>B81</f>
        <v>1.057E-2</v>
      </c>
      <c r="C90" s="400" t="str">
        <f>C81&amp;" Origination Fee of "&amp;L51&amp;"% less Interest Rebate of "&amp;M51&amp;"%"</f>
        <v>Subsidized - Adjusted by EFC Origination Fee of 1.057% less Interest Rebate of 0%</v>
      </c>
      <c r="D90" s="186"/>
      <c r="E90" s="328"/>
      <c r="F90" s="297"/>
      <c r="G90" s="424">
        <f>ROUND(L66,0)</f>
        <v>2000</v>
      </c>
      <c r="H90" s="425">
        <f>ROUND(((G90*(1-O52))),0)</f>
        <v>1979</v>
      </c>
      <c r="I90" s="176" t="s">
        <v>376</v>
      </c>
      <c r="J90" s="419"/>
      <c r="K90" s="419"/>
      <c r="L90" s="419"/>
      <c r="M90" s="419"/>
      <c r="N90" s="274"/>
      <c r="O90" s="176"/>
      <c r="P90" s="176"/>
      <c r="Q90" s="176"/>
      <c r="R90" s="426"/>
      <c r="S90" s="182"/>
      <c r="T90" s="296"/>
      <c r="U90" s="296"/>
      <c r="V90" s="296"/>
      <c r="W90" s="296"/>
      <c r="X90" s="296"/>
    </row>
    <row r="91" spans="1:32" s="295" customFormat="1" ht="21.75" customHeight="1" x14ac:dyDescent="0.2">
      <c r="A91" s="328"/>
      <c r="B91" s="399">
        <f>B82</f>
        <v>1.057E-2</v>
      </c>
      <c r="C91" s="400" t="str">
        <f>C82&amp;" Origination Fee of "&amp;L52&amp;"% less Interest Rebate of "&amp;M52&amp;"%"</f>
        <v>Unsubsidized Origination Fee of 1.057% less Interest Rebate of 0%</v>
      </c>
      <c r="D91" s="186"/>
      <c r="E91" s="328"/>
      <c r="F91" s="297"/>
      <c r="G91" s="424">
        <f>H81</f>
        <v>0</v>
      </c>
      <c r="H91" s="425">
        <f>G91</f>
        <v>0</v>
      </c>
      <c r="I91" s="176" t="s">
        <v>371</v>
      </c>
      <c r="J91" s="176"/>
      <c r="K91" s="176"/>
      <c r="L91" s="176"/>
      <c r="M91" s="277"/>
      <c r="N91" s="274"/>
      <c r="O91" s="176"/>
      <c r="P91" s="426"/>
      <c r="Q91" s="426"/>
      <c r="R91" s="176"/>
      <c r="S91" s="182"/>
      <c r="T91" s="296"/>
      <c r="U91" s="296"/>
      <c r="V91" s="296"/>
      <c r="W91" s="296"/>
      <c r="X91" s="296"/>
    </row>
    <row r="92" spans="1:32" s="295" customFormat="1" ht="21.75" customHeight="1" x14ac:dyDescent="0.2">
      <c r="A92" s="328"/>
      <c r="B92" s="399">
        <f>B84</f>
        <v>4.2279999999999998E-2</v>
      </c>
      <c r="C92" s="400" t="str">
        <f>C84&amp;" Origination Fee of "&amp;L53&amp;"% less Interest Rebate of "&amp;M53&amp;"%"</f>
        <v>PLUS Loan (Adjusted up to include all fees) Origination Fee of 4.228% less Interest Rebate of 0%</v>
      </c>
      <c r="D92" s="186"/>
      <c r="E92" s="328"/>
      <c r="F92" s="297"/>
      <c r="G92" s="424">
        <f>IF((J76=2),"",(ROUND(K73,0)))</f>
        <v>40756</v>
      </c>
      <c r="H92" s="425">
        <f>ROUND(((G92*(1-O53))),0)</f>
        <v>39033</v>
      </c>
      <c r="I92" s="176" t="s">
        <v>373</v>
      </c>
      <c r="J92" s="176"/>
      <c r="K92" s="176"/>
      <c r="L92" s="176"/>
      <c r="M92" s="277"/>
      <c r="N92" s="278"/>
      <c r="O92" s="176"/>
      <c r="P92" s="176"/>
      <c r="Q92" s="239"/>
      <c r="R92" s="176"/>
      <c r="S92" s="182"/>
      <c r="T92" s="296"/>
      <c r="U92" s="296"/>
      <c r="V92" s="296"/>
      <c r="W92" s="296"/>
      <c r="X92" s="296"/>
    </row>
    <row r="93" spans="1:32" s="295" customFormat="1" ht="21.75" customHeight="1" thickBot="1" x14ac:dyDescent="0.25">
      <c r="A93" s="328"/>
      <c r="B93" s="328"/>
      <c r="C93" s="401" t="s">
        <v>303</v>
      </c>
      <c r="D93" s="186"/>
      <c r="E93" s="328"/>
      <c r="F93" s="297"/>
      <c r="G93" s="427">
        <f>SUM(G89:G92)</f>
        <v>46256</v>
      </c>
      <c r="H93" s="428">
        <f>SUM(H89:H92)</f>
        <v>44475</v>
      </c>
      <c r="I93" s="176" t="s">
        <v>374</v>
      </c>
      <c r="J93" s="176"/>
      <c r="K93" s="176"/>
      <c r="L93" s="176"/>
      <c r="M93" s="277"/>
      <c r="N93" s="278"/>
      <c r="O93" s="176"/>
      <c r="P93" s="176"/>
      <c r="Q93" s="176"/>
      <c r="R93" s="176"/>
      <c r="S93" s="182"/>
      <c r="T93" s="296"/>
      <c r="U93" s="296"/>
      <c r="V93" s="296"/>
      <c r="W93" s="296"/>
      <c r="X93" s="296"/>
    </row>
    <row r="94" spans="1:32" s="295" customFormat="1" ht="21.75" customHeight="1" thickTop="1" x14ac:dyDescent="0.2">
      <c r="A94" s="328"/>
      <c r="B94" s="328"/>
      <c r="C94" s="328"/>
      <c r="D94" s="328"/>
      <c r="E94" s="328"/>
      <c r="F94" s="297"/>
      <c r="G94" s="176"/>
      <c r="H94" s="419"/>
      <c r="I94" s="176"/>
      <c r="J94" s="267"/>
      <c r="K94" s="267"/>
      <c r="L94" s="267"/>
      <c r="M94" s="267"/>
      <c r="N94" s="267"/>
      <c r="O94" s="176"/>
      <c r="P94" s="176"/>
      <c r="Q94" s="176"/>
      <c r="R94" s="176"/>
      <c r="S94" s="182"/>
      <c r="T94" s="296"/>
      <c r="U94" s="296"/>
      <c r="V94" s="296"/>
      <c r="W94" s="296"/>
      <c r="X94" s="296"/>
    </row>
    <row r="95" spans="1:32" s="295" customFormat="1" ht="21.75" customHeight="1" x14ac:dyDescent="0.2">
      <c r="A95" s="405"/>
      <c r="B95" s="406"/>
      <c r="C95" s="407"/>
      <c r="D95" s="343"/>
      <c r="E95" s="343"/>
      <c r="F95" s="297"/>
      <c r="G95" s="176"/>
      <c r="H95" s="267" t="s">
        <v>53</v>
      </c>
      <c r="I95" s="298" t="s">
        <v>67</v>
      </c>
      <c r="J95" s="270"/>
      <c r="K95" s="270"/>
      <c r="L95" s="270"/>
      <c r="M95" s="270"/>
      <c r="N95" s="270"/>
      <c r="O95" s="176"/>
      <c r="P95" s="176"/>
      <c r="Q95" s="176"/>
      <c r="R95" s="176"/>
      <c r="S95" s="182"/>
      <c r="T95" s="296"/>
      <c r="U95" s="296"/>
      <c r="V95" s="296"/>
      <c r="W95" s="296"/>
      <c r="X95" s="296"/>
    </row>
    <row r="96" spans="1:32" s="295" customFormat="1" ht="18" x14ac:dyDescent="0.2">
      <c r="A96" s="406"/>
      <c r="B96" s="406"/>
      <c r="C96" s="407"/>
      <c r="D96" s="343"/>
      <c r="E96" s="343"/>
      <c r="F96" s="297"/>
      <c r="G96" s="176"/>
      <c r="H96" s="419"/>
      <c r="I96" s="298" t="s">
        <v>87</v>
      </c>
      <c r="J96" s="270"/>
      <c r="K96" s="270"/>
      <c r="L96" s="270"/>
      <c r="M96" s="270"/>
      <c r="N96" s="270"/>
      <c r="O96" s="176"/>
      <c r="P96" s="176"/>
      <c r="Q96" s="176"/>
      <c r="R96" s="176"/>
      <c r="S96" s="182"/>
      <c r="T96" s="296"/>
      <c r="U96" s="296"/>
      <c r="V96" s="296"/>
      <c r="W96" s="296"/>
      <c r="X96" s="296"/>
    </row>
    <row r="97" spans="1:32" s="295" customFormat="1" ht="18" x14ac:dyDescent="0.2">
      <c r="A97" s="408"/>
      <c r="B97" s="408"/>
      <c r="C97" s="408"/>
      <c r="D97" s="408"/>
      <c r="E97" s="408"/>
      <c r="F97" s="419"/>
      <c r="G97" s="176"/>
      <c r="H97" s="419"/>
      <c r="I97" s="429" t="s">
        <v>69</v>
      </c>
      <c r="J97" s="270"/>
      <c r="K97" s="270"/>
      <c r="L97" s="270"/>
      <c r="M97" s="270"/>
      <c r="N97" s="270"/>
      <c r="O97" s="176"/>
      <c r="P97" s="176"/>
      <c r="Q97" s="176"/>
      <c r="R97" s="176"/>
      <c r="S97" s="182"/>
      <c r="T97" s="296"/>
      <c r="U97" s="296"/>
      <c r="V97" s="296"/>
      <c r="W97" s="296"/>
      <c r="X97" s="296"/>
    </row>
    <row r="98" spans="1:32" s="295" customFormat="1" ht="18" x14ac:dyDescent="0.2">
      <c r="A98" s="408"/>
      <c r="B98" s="408"/>
      <c r="C98" s="408"/>
      <c r="D98" s="408"/>
      <c r="E98" s="408"/>
      <c r="F98" s="419"/>
      <c r="G98" s="419"/>
      <c r="H98" s="419"/>
      <c r="I98" s="270"/>
      <c r="J98" s="176"/>
      <c r="K98" s="176"/>
      <c r="L98" s="176"/>
      <c r="M98" s="176"/>
      <c r="N98" s="176"/>
      <c r="O98" s="176"/>
      <c r="P98" s="176"/>
      <c r="Q98" s="176"/>
      <c r="R98" s="176"/>
      <c r="S98" s="182"/>
      <c r="T98" s="296"/>
      <c r="U98" s="296"/>
      <c r="V98" s="296"/>
      <c r="W98" s="296"/>
      <c r="X98" s="296"/>
    </row>
    <row r="99" spans="1:32" s="184" customFormat="1" ht="18" x14ac:dyDescent="0.2">
      <c r="A99" s="408"/>
      <c r="B99" s="408"/>
      <c r="C99" s="408"/>
      <c r="D99" s="408"/>
      <c r="E99" s="408"/>
      <c r="F99" s="419"/>
      <c r="G99" s="419"/>
      <c r="H99" s="267" t="s">
        <v>70</v>
      </c>
      <c r="I99" s="430" t="s">
        <v>72</v>
      </c>
      <c r="J99" s="176"/>
      <c r="K99" s="176"/>
      <c r="L99" s="270"/>
      <c r="M99" s="270"/>
      <c r="N99" s="270"/>
      <c r="O99" s="176"/>
      <c r="P99" s="176"/>
      <c r="Q99" s="176"/>
      <c r="R99" s="176"/>
      <c r="S99" s="182"/>
      <c r="T99" s="296"/>
      <c r="U99" s="296"/>
      <c r="V99" s="296"/>
      <c r="W99" s="296"/>
      <c r="X99" s="296"/>
      <c r="Y99" s="295"/>
      <c r="Z99" s="295"/>
      <c r="AA99" s="295"/>
      <c r="AB99" s="295"/>
      <c r="AC99" s="295"/>
      <c r="AD99" s="295"/>
      <c r="AE99" s="295"/>
      <c r="AF99" s="295"/>
    </row>
    <row r="100" spans="1:32" s="184" customFormat="1" ht="18" x14ac:dyDescent="0.2">
      <c r="A100" s="409"/>
      <c r="B100" s="409"/>
      <c r="C100" s="408"/>
      <c r="D100" s="410"/>
      <c r="E100" s="410"/>
      <c r="F100" s="177"/>
      <c r="G100" s="176"/>
      <c r="H100" s="267" t="s">
        <v>71</v>
      </c>
      <c r="I100" s="430" t="s">
        <v>86</v>
      </c>
      <c r="J100" s="176"/>
      <c r="K100" s="176"/>
      <c r="L100" s="176"/>
      <c r="M100" s="176"/>
      <c r="N100" s="176"/>
      <c r="O100" s="176"/>
      <c r="P100" s="176"/>
      <c r="Q100" s="176"/>
      <c r="R100" s="176"/>
      <c r="S100" s="182"/>
      <c r="T100" s="183"/>
      <c r="U100" s="183"/>
      <c r="V100" s="183"/>
      <c r="W100" s="183"/>
      <c r="X100" s="183"/>
    </row>
    <row r="101" spans="1:32" s="184" customFormat="1" ht="18" x14ac:dyDescent="0.2">
      <c r="A101" s="409"/>
      <c r="B101" s="409"/>
      <c r="C101" s="408"/>
      <c r="D101" s="410"/>
      <c r="E101" s="410"/>
      <c r="F101" s="177"/>
      <c r="G101" s="176"/>
      <c r="H101" s="267" t="s">
        <v>54</v>
      </c>
      <c r="I101" s="298" t="s">
        <v>73</v>
      </c>
      <c r="J101" s="176"/>
      <c r="K101" s="176"/>
      <c r="L101" s="176"/>
      <c r="M101" s="176"/>
      <c r="N101" s="176"/>
      <c r="O101" s="176"/>
      <c r="P101" s="176"/>
      <c r="Q101" s="176"/>
      <c r="R101" s="176"/>
      <c r="S101" s="182"/>
      <c r="T101" s="183"/>
      <c r="U101" s="183"/>
      <c r="V101" s="183"/>
      <c r="W101" s="183"/>
      <c r="X101" s="183"/>
    </row>
    <row r="102" spans="1:32" s="184" customFormat="1" ht="15" x14ac:dyDescent="0.2">
      <c r="A102" s="409"/>
      <c r="B102" s="409"/>
      <c r="C102" s="408"/>
      <c r="D102" s="410"/>
      <c r="E102" s="410"/>
      <c r="F102" s="177"/>
      <c r="G102" s="176"/>
      <c r="H102" s="176"/>
      <c r="I102" s="176"/>
      <c r="J102" s="176"/>
      <c r="K102" s="176"/>
      <c r="L102" s="176"/>
      <c r="M102" s="176"/>
      <c r="N102" s="176"/>
      <c r="O102" s="176"/>
      <c r="P102" s="176"/>
      <c r="Q102" s="176"/>
      <c r="R102" s="176"/>
      <c r="S102" s="182"/>
      <c r="T102" s="183"/>
      <c r="U102" s="183"/>
      <c r="V102" s="183"/>
      <c r="W102" s="183"/>
      <c r="X102" s="183"/>
    </row>
    <row r="103" spans="1:32" s="184" customFormat="1" ht="15" x14ac:dyDescent="0.2">
      <c r="A103" s="409"/>
      <c r="B103" s="409"/>
      <c r="C103" s="408"/>
      <c r="D103" s="410"/>
      <c r="E103" s="410"/>
      <c r="F103" s="177"/>
      <c r="G103" s="176"/>
      <c r="H103" s="176"/>
      <c r="I103" s="176"/>
      <c r="J103" s="176"/>
      <c r="K103" s="176"/>
      <c r="L103" s="176"/>
      <c r="M103" s="176"/>
      <c r="N103" s="176"/>
      <c r="O103" s="176"/>
      <c r="P103" s="176"/>
      <c r="Q103" s="176"/>
      <c r="R103" s="176"/>
      <c r="S103" s="182"/>
      <c r="T103" s="183"/>
      <c r="U103" s="183"/>
      <c r="V103" s="183"/>
      <c r="W103" s="183"/>
      <c r="X103" s="183"/>
    </row>
    <row r="104" spans="1:32" s="184" customFormat="1" ht="15" x14ac:dyDescent="0.2">
      <c r="A104" s="409"/>
      <c r="B104" s="409"/>
      <c r="C104" s="408"/>
      <c r="D104" s="410"/>
      <c r="E104" s="410"/>
      <c r="F104" s="177"/>
      <c r="G104" s="176"/>
      <c r="H104" s="176"/>
      <c r="I104" s="176"/>
      <c r="J104" s="176"/>
      <c r="K104" s="176"/>
      <c r="L104" s="176"/>
      <c r="M104" s="176"/>
      <c r="N104" s="176"/>
      <c r="O104" s="176"/>
      <c r="P104" s="176"/>
      <c r="Q104" s="176"/>
      <c r="R104" s="176"/>
      <c r="S104" s="182"/>
      <c r="T104" s="183"/>
      <c r="U104" s="183"/>
      <c r="V104" s="183"/>
      <c r="W104" s="183"/>
      <c r="X104" s="183"/>
    </row>
    <row r="105" spans="1:32" s="184" customFormat="1" ht="15" x14ac:dyDescent="0.2">
      <c r="A105" s="409"/>
      <c r="B105" s="409"/>
      <c r="C105" s="408"/>
      <c r="D105" s="410"/>
      <c r="E105" s="410"/>
      <c r="F105" s="177"/>
      <c r="G105" s="176"/>
      <c r="H105" s="176"/>
      <c r="I105" s="176"/>
      <c r="J105" s="176"/>
      <c r="K105" s="176"/>
      <c r="L105" s="176"/>
      <c r="M105" s="176"/>
      <c r="N105" s="176"/>
      <c r="O105" s="176"/>
      <c r="P105" s="176"/>
      <c r="Q105" s="176"/>
      <c r="R105" s="176"/>
      <c r="S105" s="182"/>
      <c r="T105" s="183"/>
      <c r="U105" s="183"/>
      <c r="V105" s="183"/>
      <c r="W105" s="183"/>
      <c r="X105" s="183"/>
    </row>
    <row r="106" spans="1:32" s="184" customFormat="1" ht="15" x14ac:dyDescent="0.2">
      <c r="A106" s="409"/>
      <c r="B106" s="409"/>
      <c r="C106" s="408"/>
      <c r="D106" s="410"/>
      <c r="E106" s="410"/>
      <c r="F106" s="177"/>
      <c r="G106" s="176"/>
      <c r="H106" s="176"/>
      <c r="I106" s="176"/>
      <c r="J106" s="176"/>
      <c r="K106" s="176"/>
      <c r="L106" s="176"/>
      <c r="M106" s="176"/>
      <c r="N106" s="176"/>
      <c r="O106" s="176"/>
      <c r="P106" s="176"/>
      <c r="Q106" s="176"/>
      <c r="R106" s="176"/>
      <c r="S106" s="182"/>
      <c r="T106" s="183"/>
      <c r="U106" s="183"/>
      <c r="V106" s="183"/>
      <c r="W106" s="183"/>
      <c r="X106" s="183"/>
    </row>
    <row r="107" spans="1:32" s="184" customFormat="1" ht="15.75" x14ac:dyDescent="0.2">
      <c r="A107" s="312" t="s">
        <v>366</v>
      </c>
      <c r="B107" s="313"/>
      <c r="C107" s="314"/>
      <c r="D107" s="315"/>
      <c r="E107" s="315"/>
      <c r="F107" s="177"/>
      <c r="G107" s="176"/>
      <c r="H107" s="176"/>
      <c r="I107" s="176"/>
      <c r="J107" s="176"/>
      <c r="K107" s="176"/>
      <c r="L107" s="176"/>
      <c r="M107" s="176"/>
      <c r="N107" s="176"/>
      <c r="O107" s="176"/>
      <c r="P107" s="176"/>
      <c r="Q107" s="176"/>
      <c r="R107" s="176"/>
      <c r="S107" s="182"/>
      <c r="T107" s="183"/>
      <c r="U107" s="183"/>
      <c r="V107" s="183"/>
      <c r="W107" s="183"/>
      <c r="X107" s="183"/>
    </row>
    <row r="108" spans="1:32" s="184" customFormat="1" ht="15.75" x14ac:dyDescent="0.2">
      <c r="A108" s="316" t="s">
        <v>367</v>
      </c>
      <c r="B108" s="317"/>
      <c r="C108" s="318"/>
      <c r="D108" s="319"/>
      <c r="E108" s="319"/>
      <c r="F108" s="177"/>
      <c r="G108" s="176"/>
      <c r="H108" s="176"/>
      <c r="I108" s="176"/>
      <c r="J108" s="176"/>
      <c r="K108" s="176"/>
      <c r="L108" s="176"/>
      <c r="M108" s="176"/>
      <c r="N108" s="176"/>
      <c r="O108" s="176"/>
      <c r="P108" s="176"/>
      <c r="Q108" s="176"/>
      <c r="R108" s="176"/>
      <c r="S108" s="182"/>
      <c r="T108" s="183"/>
      <c r="U108" s="183"/>
      <c r="V108" s="183"/>
      <c r="W108" s="183"/>
      <c r="X108" s="183"/>
    </row>
    <row r="109" spans="1:32" s="184" customFormat="1" ht="15" x14ac:dyDescent="0.2">
      <c r="A109" s="320"/>
      <c r="B109" s="320"/>
      <c r="C109" s="321"/>
      <c r="D109" s="319"/>
      <c r="E109" s="319"/>
      <c r="F109" s="177"/>
      <c r="G109" s="176"/>
      <c r="H109" s="176"/>
      <c r="I109" s="176"/>
      <c r="J109" s="176"/>
      <c r="K109" s="176"/>
      <c r="L109" s="176"/>
      <c r="M109" s="176"/>
      <c r="N109" s="176"/>
      <c r="O109" s="176"/>
      <c r="P109" s="176"/>
      <c r="Q109" s="176"/>
      <c r="R109" s="176"/>
      <c r="S109" s="182"/>
      <c r="T109" s="183"/>
      <c r="U109" s="183"/>
      <c r="V109" s="183"/>
      <c r="W109" s="183"/>
      <c r="X109" s="183"/>
    </row>
    <row r="110" spans="1:32" s="184" customFormat="1" ht="15.75" x14ac:dyDescent="0.2">
      <c r="A110" s="320"/>
      <c r="B110" s="320"/>
      <c r="C110" s="321"/>
      <c r="D110" s="319"/>
      <c r="E110" s="319"/>
      <c r="F110" s="177"/>
      <c r="G110" s="176"/>
      <c r="H110" s="176"/>
      <c r="I110" s="176"/>
      <c r="J110" s="299" t="s">
        <v>351</v>
      </c>
      <c r="K110" s="176"/>
      <c r="L110" s="176"/>
      <c r="M110" s="176"/>
      <c r="N110" s="176"/>
      <c r="O110" s="176"/>
      <c r="P110" s="176"/>
      <c r="Q110" s="176"/>
      <c r="R110" s="176"/>
      <c r="S110" s="182"/>
      <c r="T110" s="183"/>
      <c r="U110" s="183"/>
      <c r="V110" s="183"/>
      <c r="W110" s="183"/>
      <c r="X110" s="183"/>
    </row>
    <row r="111" spans="1:32" s="184" customFormat="1" ht="47.25" x14ac:dyDescent="0.2">
      <c r="A111" s="307" t="s">
        <v>365</v>
      </c>
      <c r="B111" s="308"/>
      <c r="C111" s="309" t="s">
        <v>311</v>
      </c>
      <c r="D111" s="310" t="s">
        <v>333</v>
      </c>
      <c r="E111" s="311" t="s">
        <v>318</v>
      </c>
      <c r="F111" s="213"/>
      <c r="G111" s="176"/>
      <c r="H111" s="176"/>
      <c r="I111" s="176"/>
      <c r="J111" s="176"/>
      <c r="K111" s="176" t="s">
        <v>352</v>
      </c>
      <c r="L111" s="176" t="s">
        <v>353</v>
      </c>
      <c r="M111" s="176" t="s">
        <v>354</v>
      </c>
      <c r="N111" s="176" t="s">
        <v>355</v>
      </c>
      <c r="O111" s="176" t="s">
        <v>358</v>
      </c>
      <c r="P111" s="176"/>
      <c r="Q111" s="176"/>
      <c r="R111" s="176"/>
      <c r="S111" s="182"/>
      <c r="T111" s="183"/>
      <c r="U111" s="183"/>
      <c r="V111" s="183"/>
      <c r="W111" s="183"/>
      <c r="X111" s="183"/>
    </row>
    <row r="112" spans="1:32" s="184" customFormat="1" ht="15.75" x14ac:dyDescent="0.2">
      <c r="A112" s="322" t="s">
        <v>314</v>
      </c>
      <c r="B112" s="328"/>
      <c r="C112" s="402" t="s">
        <v>312</v>
      </c>
      <c r="D112" s="403" t="s">
        <v>4</v>
      </c>
      <c r="E112" s="323">
        <f>IF((D112="Y"),1,0)</f>
        <v>0</v>
      </c>
      <c r="F112" s="213"/>
      <c r="G112" s="176"/>
      <c r="H112" s="176"/>
      <c r="I112" s="176"/>
      <c r="J112" s="176" t="s">
        <v>360</v>
      </c>
      <c r="K112" s="300">
        <v>23000</v>
      </c>
      <c r="L112" s="300" t="e">
        <f>#REF!</f>
        <v>#REF!</v>
      </c>
      <c r="M112" s="300" t="e">
        <f>K112-L112</f>
        <v>#REF!</v>
      </c>
      <c r="N112" s="300">
        <f>G28</f>
        <v>3500</v>
      </c>
      <c r="O112" s="300" t="e">
        <f>MIN(M112:N112)</f>
        <v>#REF!</v>
      </c>
      <c r="P112" s="176"/>
      <c r="Q112" s="176"/>
      <c r="R112" s="176"/>
      <c r="S112" s="182"/>
      <c r="T112" s="183"/>
      <c r="U112" s="183"/>
      <c r="V112" s="183"/>
      <c r="W112" s="183"/>
      <c r="X112" s="183"/>
    </row>
    <row r="113" spans="1:24" s="184" customFormat="1" ht="20.25" x14ac:dyDescent="0.2">
      <c r="A113" s="322" t="s">
        <v>315</v>
      </c>
      <c r="B113" s="328"/>
      <c r="C113" s="402" t="s">
        <v>313</v>
      </c>
      <c r="D113" s="403" t="s">
        <v>4</v>
      </c>
      <c r="E113" s="323">
        <f>IF((D113="Y"),1,0)</f>
        <v>0</v>
      </c>
      <c r="F113" s="213"/>
      <c r="G113" s="176"/>
      <c r="H113" s="176"/>
      <c r="I113" s="176"/>
      <c r="J113" s="176" t="s">
        <v>361</v>
      </c>
      <c r="K113" s="176"/>
      <c r="L113" s="176"/>
      <c r="M113" s="176"/>
      <c r="N113" s="194" t="e">
        <f>IF((#REF!="D"),I28,0)</f>
        <v>#REF!</v>
      </c>
      <c r="O113" s="301" t="e">
        <f>IF((#REF!="D"),(M114-O112),0)</f>
        <v>#REF!</v>
      </c>
      <c r="P113" s="176"/>
      <c r="Q113" s="176"/>
      <c r="R113" s="176"/>
      <c r="S113" s="182"/>
      <c r="T113" s="183"/>
      <c r="U113" s="183"/>
      <c r="V113" s="183"/>
      <c r="W113" s="183"/>
      <c r="X113" s="183"/>
    </row>
    <row r="114" spans="1:24" s="184" customFormat="1" ht="15.75" x14ac:dyDescent="0.2">
      <c r="A114" s="322" t="s">
        <v>316</v>
      </c>
      <c r="B114" s="328"/>
      <c r="C114" s="404" t="str">
        <f>IF((SUM(E112:E113)&gt;0),"It is possible that you have reached or are close to the aggregate limit which may affect what you may borrow for this year","")</f>
        <v/>
      </c>
      <c r="D114" s="248"/>
      <c r="E114" s="324"/>
      <c r="F114" s="227"/>
      <c r="G114" s="176"/>
      <c r="H114" s="176"/>
      <c r="I114" s="176"/>
      <c r="J114" s="176" t="s">
        <v>363</v>
      </c>
      <c r="K114" s="300">
        <v>31000</v>
      </c>
      <c r="L114" s="194" t="e">
        <f>IF((#REF!="D"),#REF!,0)</f>
        <v>#REF!</v>
      </c>
      <c r="M114" s="300" t="e">
        <f>K114-L114</f>
        <v>#REF!</v>
      </c>
      <c r="N114" s="176"/>
      <c r="O114" s="176"/>
      <c r="P114" s="176"/>
      <c r="Q114" s="176"/>
      <c r="R114" s="176"/>
      <c r="S114" s="182"/>
      <c r="T114" s="183"/>
      <c r="U114" s="183"/>
      <c r="V114" s="183"/>
      <c r="W114" s="183"/>
      <c r="X114" s="183"/>
    </row>
    <row r="115" spans="1:24" s="184" customFormat="1" ht="20.25" x14ac:dyDescent="0.2">
      <c r="A115" s="322" t="str">
        <f>IF((SUM(E112:E113)&gt;0),"which may change the value","")</f>
        <v/>
      </c>
      <c r="B115" s="328"/>
      <c r="C115" s="404" t="str">
        <f>IF((SUM(E112:E113)&gt;0),"Please complete the information about previous borrowing which is in NSLDS (or your annual acknowledgement)","")</f>
        <v/>
      </c>
      <c r="D115" s="248"/>
      <c r="E115" s="324"/>
      <c r="F115" s="227"/>
      <c r="G115" s="176"/>
      <c r="H115" s="176"/>
      <c r="I115" s="176"/>
      <c r="J115" s="176" t="s">
        <v>362</v>
      </c>
      <c r="K115" s="302"/>
      <c r="L115" s="300"/>
      <c r="M115" s="300"/>
      <c r="N115" s="300" t="e">
        <f>IF((#REF!="I"),I28,0)</f>
        <v>#REF!</v>
      </c>
      <c r="O115" s="300"/>
      <c r="P115" s="176"/>
      <c r="Q115" s="176"/>
      <c r="R115" s="176"/>
      <c r="S115" s="182"/>
      <c r="T115" s="183"/>
      <c r="U115" s="183"/>
      <c r="V115" s="183"/>
      <c r="W115" s="183"/>
      <c r="X115" s="183"/>
    </row>
    <row r="116" spans="1:24" s="184" customFormat="1" ht="15.75" x14ac:dyDescent="0.2">
      <c r="A116" s="322" t="str">
        <f>IF((SUM(E112:E113)&gt;0),"of the loans you expect","")</f>
        <v/>
      </c>
      <c r="B116" s="328"/>
      <c r="C116" s="321" t="s">
        <v>428</v>
      </c>
      <c r="D116" s="403" t="s">
        <v>56</v>
      </c>
      <c r="E116" s="319"/>
      <c r="F116" s="227"/>
      <c r="G116" s="176"/>
      <c r="H116" s="176"/>
      <c r="I116" s="176"/>
      <c r="J116" s="176" t="s">
        <v>364</v>
      </c>
      <c r="K116" s="300">
        <v>57500</v>
      </c>
      <c r="L116" s="300" t="e">
        <f>IF((#REF!="I"),#REF!,0)</f>
        <v>#REF!</v>
      </c>
      <c r="M116" s="300" t="e">
        <f>K116-L116</f>
        <v>#REF!</v>
      </c>
      <c r="N116" s="300"/>
      <c r="O116" s="300"/>
      <c r="P116" s="176"/>
      <c r="Q116" s="176"/>
      <c r="R116" s="176"/>
      <c r="S116" s="182"/>
      <c r="T116" s="183"/>
      <c r="U116" s="183"/>
      <c r="V116" s="183"/>
      <c r="W116" s="183"/>
      <c r="X116" s="183"/>
    </row>
    <row r="117" spans="1:24" s="184" customFormat="1" ht="15.75" x14ac:dyDescent="0.2">
      <c r="A117" s="322" t="str">
        <f>IF((SUM(E112:E113)&gt;0),"to receive","")</f>
        <v/>
      </c>
      <c r="B117" s="328"/>
      <c r="C117" s="402" t="str">
        <f>IF((SUM(E112:E113)&gt;0),"Undergrad Subsidised total","")</f>
        <v/>
      </c>
      <c r="D117" s="325">
        <v>22500</v>
      </c>
      <c r="E117" s="324"/>
      <c r="F117" s="227"/>
      <c r="G117" s="176"/>
      <c r="H117" s="176"/>
      <c r="I117" s="176"/>
      <c r="J117" s="176" t="s">
        <v>356</v>
      </c>
      <c r="K117" s="300">
        <v>65500</v>
      </c>
      <c r="L117" s="300" t="e">
        <f>#REF!</f>
        <v>#REF!</v>
      </c>
      <c r="M117" s="300" t="e">
        <f>K117-L117</f>
        <v>#REF!</v>
      </c>
      <c r="N117" s="300"/>
      <c r="O117" s="300"/>
      <c r="P117" s="176"/>
      <c r="Q117" s="176"/>
      <c r="R117" s="176"/>
      <c r="S117" s="182"/>
      <c r="T117" s="183"/>
      <c r="U117" s="183"/>
      <c r="V117" s="183"/>
      <c r="W117" s="183"/>
      <c r="X117" s="183"/>
    </row>
    <row r="118" spans="1:24" s="184" customFormat="1" ht="15.75" x14ac:dyDescent="0.2">
      <c r="A118" s="322" t="str">
        <f>IF((SUM(E112:E113)&gt;0),"so be honest in your answers","")</f>
        <v/>
      </c>
      <c r="B118" s="328"/>
      <c r="C118" s="402" t="str">
        <f>IF((SUM(E112:E113)&gt;0),"Undergrad Unsubsidised total","")</f>
        <v/>
      </c>
      <c r="D118" s="325">
        <v>30000</v>
      </c>
      <c r="E118" s="324"/>
      <c r="F118" s="227"/>
      <c r="G118" s="176"/>
      <c r="H118" s="176"/>
      <c r="I118" s="176"/>
      <c r="J118" s="176" t="s">
        <v>357</v>
      </c>
      <c r="K118" s="300">
        <v>138500</v>
      </c>
      <c r="L118" s="300" t="e">
        <f>#REF!</f>
        <v>#REF!</v>
      </c>
      <c r="M118" s="300" t="e">
        <f>K118-L118</f>
        <v>#REF!</v>
      </c>
      <c r="N118" s="300"/>
      <c r="O118" s="300"/>
      <c r="P118" s="176"/>
      <c r="Q118" s="176"/>
      <c r="R118" s="176"/>
      <c r="S118" s="182"/>
      <c r="T118" s="183"/>
      <c r="U118" s="183"/>
      <c r="V118" s="183"/>
      <c r="W118" s="183"/>
      <c r="X118" s="183"/>
    </row>
    <row r="119" spans="1:24" s="184" customFormat="1" ht="15.75" x14ac:dyDescent="0.2">
      <c r="A119" s="322"/>
      <c r="B119" s="328"/>
      <c r="C119" s="402" t="str">
        <f>IF((SUM(E112:E113)&gt;0),"Postgraduate Subsidised total","")</f>
        <v/>
      </c>
      <c r="D119" s="325">
        <v>0</v>
      </c>
      <c r="E119" s="324"/>
      <c r="F119" s="227"/>
      <c r="G119" s="176"/>
      <c r="H119" s="176"/>
      <c r="I119" s="176"/>
      <c r="J119" s="176"/>
      <c r="K119" s="176"/>
      <c r="L119" s="176"/>
      <c r="M119" s="176"/>
      <c r="N119" s="176"/>
      <c r="O119" s="176"/>
      <c r="P119" s="176"/>
      <c r="Q119" s="176"/>
      <c r="R119" s="176"/>
      <c r="S119" s="182"/>
      <c r="T119" s="183"/>
      <c r="U119" s="183"/>
      <c r="V119" s="183"/>
      <c r="W119" s="183"/>
      <c r="X119" s="183"/>
    </row>
    <row r="120" spans="1:24" s="184" customFormat="1" ht="15" x14ac:dyDescent="0.2">
      <c r="A120" s="326"/>
      <c r="B120" s="328"/>
      <c r="C120" s="402" t="str">
        <f>IF((SUM(E112:E113)&gt;0),"Postgraduate Unsubsidised total","")</f>
        <v/>
      </c>
      <c r="D120" s="325">
        <v>0</v>
      </c>
      <c r="E120" s="324"/>
      <c r="F120" s="227"/>
      <c r="G120" s="176"/>
      <c r="H120" s="176"/>
      <c r="I120" s="176"/>
      <c r="J120" s="176"/>
      <c r="K120" s="176"/>
      <c r="L120" s="176"/>
      <c r="M120" s="176"/>
      <c r="N120" s="176"/>
      <c r="O120" s="176"/>
      <c r="P120" s="176"/>
      <c r="Q120" s="176"/>
      <c r="R120" s="176"/>
      <c r="S120" s="182"/>
      <c r="T120" s="183"/>
      <c r="U120" s="183"/>
      <c r="V120" s="183"/>
      <c r="W120" s="183"/>
      <c r="X120" s="183"/>
    </row>
    <row r="121" spans="1:24" s="184" customFormat="1" ht="15" x14ac:dyDescent="0.2">
      <c r="A121" s="320"/>
      <c r="B121" s="320"/>
      <c r="C121" s="321"/>
      <c r="D121" s="319"/>
      <c r="E121" s="319"/>
      <c r="F121" s="177"/>
      <c r="G121" s="176"/>
      <c r="H121" s="176"/>
      <c r="I121" s="176"/>
      <c r="J121" s="176"/>
      <c r="K121" s="176"/>
      <c r="L121" s="176"/>
      <c r="M121" s="176"/>
      <c r="N121" s="176"/>
      <c r="O121" s="176"/>
      <c r="P121" s="176"/>
      <c r="Q121" s="176"/>
      <c r="R121" s="176"/>
      <c r="S121" s="182"/>
      <c r="T121" s="183"/>
      <c r="U121" s="183"/>
      <c r="V121" s="183"/>
      <c r="W121" s="183"/>
      <c r="X121" s="183"/>
    </row>
    <row r="122" spans="1:24" s="184" customFormat="1" ht="15" x14ac:dyDescent="0.2">
      <c r="A122" s="320"/>
      <c r="B122" s="320"/>
      <c r="C122" s="321"/>
      <c r="D122" s="319"/>
      <c r="E122" s="319"/>
      <c r="F122" s="177"/>
      <c r="G122" s="176"/>
      <c r="H122" s="176"/>
      <c r="I122" s="176"/>
      <c r="J122" s="176"/>
      <c r="K122" s="176"/>
      <c r="L122" s="176"/>
      <c r="M122" s="176"/>
      <c r="N122" s="176"/>
      <c r="O122" s="176"/>
      <c r="P122" s="176"/>
      <c r="Q122" s="176"/>
      <c r="R122" s="176"/>
      <c r="S122" s="182"/>
      <c r="T122" s="183"/>
      <c r="U122" s="183"/>
      <c r="V122" s="183"/>
      <c r="W122" s="183"/>
      <c r="X122" s="183"/>
    </row>
    <row r="123" spans="1:24" ht="15" x14ac:dyDescent="0.2">
      <c r="A123" s="159"/>
      <c r="B123" s="159"/>
      <c r="C123" s="160"/>
      <c r="D123" s="161"/>
      <c r="E123" s="161"/>
      <c r="F123" s="154"/>
      <c r="G123" s="155"/>
      <c r="H123" s="155"/>
      <c r="I123" s="155"/>
      <c r="J123" s="155"/>
      <c r="K123" s="155"/>
      <c r="L123" s="155"/>
      <c r="M123" s="155"/>
      <c r="N123" s="155"/>
      <c r="O123" s="155"/>
      <c r="P123" s="155"/>
      <c r="Q123" s="155"/>
      <c r="R123" s="155"/>
      <c r="S123" s="157"/>
    </row>
    <row r="124" spans="1:24" ht="15" x14ac:dyDescent="0.2">
      <c r="A124" s="159"/>
      <c r="B124" s="159"/>
      <c r="C124" s="160"/>
      <c r="D124" s="161"/>
      <c r="E124" s="161"/>
      <c r="F124" s="154"/>
      <c r="G124" s="155"/>
      <c r="H124" s="155"/>
      <c r="I124" s="155"/>
      <c r="J124" s="155"/>
      <c r="K124" s="155"/>
      <c r="L124" s="155"/>
      <c r="M124" s="155"/>
      <c r="N124" s="155"/>
      <c r="O124" s="155"/>
      <c r="P124" s="155"/>
      <c r="Q124" s="155"/>
      <c r="R124" s="155"/>
      <c r="S124" s="157"/>
    </row>
    <row r="125" spans="1:24" x14ac:dyDescent="0.2">
      <c r="A125" s="162"/>
      <c r="B125" s="162"/>
      <c r="C125" s="163"/>
      <c r="D125" s="164"/>
      <c r="E125" s="164"/>
      <c r="F125" s="154"/>
      <c r="G125" s="155"/>
      <c r="H125" s="155"/>
      <c r="I125" s="155"/>
      <c r="J125" s="155"/>
      <c r="K125" s="155"/>
      <c r="L125" s="155"/>
      <c r="M125" s="155"/>
      <c r="N125" s="155"/>
      <c r="O125" s="155"/>
      <c r="P125" s="155"/>
      <c r="Q125" s="155"/>
      <c r="R125" s="155"/>
      <c r="S125" s="157"/>
    </row>
    <row r="126" spans="1:24" x14ac:dyDescent="0.2">
      <c r="A126" s="162"/>
      <c r="B126" s="162"/>
      <c r="C126" s="163"/>
      <c r="D126" s="164"/>
      <c r="E126" s="164"/>
      <c r="F126" s="154"/>
      <c r="G126" s="155"/>
      <c r="H126" s="155"/>
      <c r="I126" s="155"/>
      <c r="J126" s="155"/>
      <c r="K126" s="155"/>
      <c r="L126" s="155"/>
      <c r="M126" s="155"/>
      <c r="N126" s="155"/>
      <c r="O126" s="155"/>
      <c r="P126" s="155"/>
      <c r="Q126" s="155"/>
      <c r="R126" s="155"/>
      <c r="S126" s="157"/>
    </row>
    <row r="127" spans="1:24" x14ac:dyDescent="0.2">
      <c r="A127" s="162"/>
      <c r="B127" s="162"/>
      <c r="C127" s="163"/>
      <c r="D127" s="164"/>
      <c r="E127" s="164"/>
      <c r="F127" s="154"/>
      <c r="G127" s="155"/>
      <c r="H127" s="155"/>
      <c r="I127" s="155"/>
      <c r="J127" s="155"/>
      <c r="K127" s="155"/>
      <c r="L127" s="155"/>
      <c r="M127" s="155"/>
      <c r="N127" s="155"/>
      <c r="O127" s="155"/>
      <c r="P127" s="155"/>
      <c r="Q127" s="155"/>
      <c r="R127" s="155"/>
      <c r="S127" s="157"/>
    </row>
    <row r="128" spans="1:24" x14ac:dyDescent="0.2">
      <c r="A128" s="162"/>
      <c r="B128" s="162"/>
      <c r="C128" s="163"/>
      <c r="D128" s="164"/>
      <c r="E128" s="164"/>
      <c r="F128" s="154"/>
      <c r="G128" s="155"/>
      <c r="H128" s="155"/>
      <c r="I128" s="155"/>
      <c r="J128" s="155"/>
      <c r="K128" s="155"/>
      <c r="L128" s="155"/>
      <c r="M128" s="155"/>
      <c r="N128" s="155"/>
      <c r="O128" s="155"/>
      <c r="P128" s="155"/>
      <c r="Q128" s="155"/>
      <c r="R128" s="155"/>
      <c r="S128" s="157"/>
    </row>
  </sheetData>
  <sheetProtection password="C4C2" sheet="1" objects="1" scenarios="1" selectLockedCells="1"/>
  <mergeCells count="12">
    <mergeCell ref="A46:B46"/>
    <mergeCell ref="A79:B79"/>
    <mergeCell ref="A13:B13"/>
    <mergeCell ref="A26:B26"/>
    <mergeCell ref="C1:C3"/>
    <mergeCell ref="A60:B60"/>
    <mergeCell ref="A86:B86"/>
    <mergeCell ref="A89:B89"/>
    <mergeCell ref="A69:B69"/>
    <mergeCell ref="A72:B72"/>
    <mergeCell ref="A76:B76"/>
    <mergeCell ref="A73:B74"/>
  </mergeCells>
  <phoneticPr fontId="5" type="noConversion"/>
  <conditionalFormatting sqref="C114">
    <cfRule type="cellIs" dxfId="7" priority="26" stopIfTrue="1" operator="lessThan">
      <formula>0</formula>
    </cfRule>
  </conditionalFormatting>
  <conditionalFormatting sqref="D70:D73 D75">
    <cfRule type="cellIs" dxfId="6" priority="20" stopIfTrue="1" operator="equal">
      <formula>0</formula>
    </cfRule>
  </conditionalFormatting>
  <conditionalFormatting sqref="D35:D37 C35:C36">
    <cfRule type="cellIs" dxfId="5" priority="22" stopIfTrue="1" operator="equal">
      <formula>"Do not adjust this line"</formula>
    </cfRule>
  </conditionalFormatting>
  <conditionalFormatting sqref="C33">
    <cfRule type="cellIs" dxfId="4" priority="23" stopIfTrue="1" operator="equal">
      <formula>"do not adjust this line"</formula>
    </cfRule>
  </conditionalFormatting>
  <conditionalFormatting sqref="E33">
    <cfRule type="cellIs" dxfId="3" priority="25" stopIfTrue="1" operator="equal">
      <formula>"https://fafsa.ed.gov/FAFSA/app/schoolSearch?locale=en_EN"</formula>
    </cfRule>
  </conditionalFormatting>
  <dataValidations count="5">
    <dataValidation type="list" allowBlank="1" showInputMessage="1" showErrorMessage="1" sqref="D112:D113 D27:D36">
      <formula1>$H$9:$H$10</formula1>
    </dataValidation>
    <dataValidation type="list" allowBlank="1" showInputMessage="1" showErrorMessage="1" sqref="D116 D38">
      <formula1>$G$9:$G$10</formula1>
    </dataValidation>
    <dataValidation type="list" allowBlank="1" showInputMessage="1" showErrorMessage="1" sqref="D37">
      <formula1>$I$9:$I$11</formula1>
    </dataValidation>
    <dataValidation type="list" allowBlank="1" showInputMessage="1" showErrorMessage="1" sqref="F38">
      <formula1>$I$9:$I$23</formula1>
    </dataValidation>
    <dataValidation type="list" showInputMessage="1" showErrorMessage="1" sqref="E62:E65">
      <formula1>$J$9:$J$10</formula1>
    </dataValidation>
  </dataValidations>
  <hyperlinks>
    <hyperlink ref="E33" r:id="rId1" display="https://fafsa.ed.gov/FAFSA/app/schoolSearch?locale=en_EN"/>
  </hyperlinks>
  <printOptions horizontalCentered="1" verticalCentered="1"/>
  <pageMargins left="0.31496062992125984" right="0.19685039370078741" top="0.19685039370078741" bottom="0.39370078740157483" header="0" footer="0"/>
  <pageSetup paperSize="9" scale="51" orientation="portrait" r:id="rId2"/>
  <headerFooter alignWithMargins="0"/>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CFF"/>
  </sheetPr>
  <dimension ref="A1:B15"/>
  <sheetViews>
    <sheetView zoomScale="80" zoomScaleNormal="80" workbookViewId="0">
      <selection activeCell="C1" sqref="C1"/>
    </sheetView>
  </sheetViews>
  <sheetFormatPr defaultColWidth="9.140625" defaultRowHeight="14.25" x14ac:dyDescent="0.2"/>
  <cols>
    <col min="1" max="1" width="29.7109375" style="106" customWidth="1"/>
    <col min="2" max="2" width="102.28515625" style="104" customWidth="1"/>
    <col min="3" max="16384" width="9.140625" style="105"/>
  </cols>
  <sheetData>
    <row r="1" spans="1:2" s="103" customFormat="1" ht="18" x14ac:dyDescent="0.25">
      <c r="A1" s="445" t="s">
        <v>143</v>
      </c>
      <c r="B1" s="446"/>
    </row>
    <row r="2" spans="1:2" ht="72.75" customHeight="1" x14ac:dyDescent="0.2">
      <c r="A2" s="358" t="s">
        <v>136</v>
      </c>
      <c r="B2" s="359" t="s">
        <v>474</v>
      </c>
    </row>
    <row r="3" spans="1:2" ht="48.75" customHeight="1" x14ac:dyDescent="0.2">
      <c r="A3" s="360" t="s">
        <v>0</v>
      </c>
      <c r="B3" s="359" t="s">
        <v>475</v>
      </c>
    </row>
    <row r="4" spans="1:2" ht="36" customHeight="1" x14ac:dyDescent="0.2">
      <c r="A4" s="360" t="s">
        <v>412</v>
      </c>
      <c r="B4" s="359" t="s">
        <v>411</v>
      </c>
    </row>
    <row r="5" spans="1:2" ht="36" customHeight="1" x14ac:dyDescent="0.2">
      <c r="A5" s="360" t="s">
        <v>2</v>
      </c>
      <c r="B5" s="359" t="s">
        <v>137</v>
      </c>
    </row>
    <row r="6" spans="1:2" ht="22.5" customHeight="1" x14ac:dyDescent="0.2">
      <c r="A6" s="360" t="s">
        <v>27</v>
      </c>
      <c r="B6" s="359" t="s">
        <v>395</v>
      </c>
    </row>
    <row r="7" spans="1:2" ht="25.5" customHeight="1" x14ac:dyDescent="0.2">
      <c r="A7" s="360" t="s">
        <v>1</v>
      </c>
      <c r="B7" s="359" t="s">
        <v>476</v>
      </c>
    </row>
    <row r="8" spans="1:2" ht="25.5" customHeight="1" x14ac:dyDescent="0.2">
      <c r="A8" s="358" t="s">
        <v>138</v>
      </c>
      <c r="B8" s="359" t="s">
        <v>299</v>
      </c>
    </row>
    <row r="9" spans="1:2" ht="28.5" customHeight="1" x14ac:dyDescent="0.2">
      <c r="A9" s="358" t="s">
        <v>139</v>
      </c>
      <c r="B9" s="359" t="s">
        <v>300</v>
      </c>
    </row>
    <row r="10" spans="1:2" ht="24" customHeight="1" x14ac:dyDescent="0.2">
      <c r="A10" s="358" t="s">
        <v>140</v>
      </c>
      <c r="B10" s="359" t="s">
        <v>266</v>
      </c>
    </row>
    <row r="11" spans="1:2" ht="72.75" customHeight="1" x14ac:dyDescent="0.2">
      <c r="A11" s="358" t="s">
        <v>141</v>
      </c>
      <c r="B11" s="359" t="s">
        <v>477</v>
      </c>
    </row>
    <row r="12" spans="1:2" ht="47.25" customHeight="1" x14ac:dyDescent="0.2">
      <c r="A12" s="358" t="s">
        <v>167</v>
      </c>
      <c r="B12" s="359" t="s">
        <v>478</v>
      </c>
    </row>
    <row r="13" spans="1:2" ht="50.25" customHeight="1" x14ac:dyDescent="0.2">
      <c r="A13" s="358" t="s">
        <v>144</v>
      </c>
      <c r="B13" s="359" t="s">
        <v>394</v>
      </c>
    </row>
    <row r="14" spans="1:2" ht="54" customHeight="1" x14ac:dyDescent="0.2">
      <c r="A14" s="358" t="s">
        <v>145</v>
      </c>
      <c r="B14" s="359" t="s">
        <v>479</v>
      </c>
    </row>
    <row r="15" spans="1:2" ht="15" x14ac:dyDescent="0.2">
      <c r="B15" s="107"/>
    </row>
  </sheetData>
  <sheetProtection password="C4C2" sheet="1" objects="1" scenarios="1" selectLockedCells="1"/>
  <mergeCells count="1">
    <mergeCell ref="A1:B1"/>
  </mergeCell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G66"/>
  <sheetViews>
    <sheetView workbookViewId="0">
      <selection activeCell="B7" sqref="B7"/>
    </sheetView>
  </sheetViews>
  <sheetFormatPr defaultColWidth="9.140625" defaultRowHeight="12.75" x14ac:dyDescent="0.2"/>
  <cols>
    <col min="1" max="1" width="29.28515625" style="80" customWidth="1"/>
    <col min="2" max="2" width="61.7109375" style="80" customWidth="1"/>
    <col min="3" max="16384" width="9.140625" style="80"/>
  </cols>
  <sheetData>
    <row r="1" spans="1:7" ht="15.75" x14ac:dyDescent="0.25">
      <c r="A1" s="361" t="str">
        <f>'Cost of Attendance'!C15&amp;" "&amp;'Cost of Attendance'!C14</f>
        <v>Given Name (Forename) Family name (Surname)</v>
      </c>
      <c r="B1" s="79"/>
      <c r="C1" s="79"/>
      <c r="D1" s="79"/>
      <c r="E1" s="79"/>
      <c r="F1" s="79"/>
      <c r="G1" s="79"/>
    </row>
    <row r="2" spans="1:7" ht="15.75" x14ac:dyDescent="0.25">
      <c r="A2" s="12" t="str">
        <f>'Cost of Attendance'!C16</f>
        <v>Line 1</v>
      </c>
      <c r="B2" s="79"/>
      <c r="C2" s="79"/>
      <c r="D2" s="79"/>
      <c r="E2" s="79"/>
      <c r="F2" s="79"/>
      <c r="G2" s="79"/>
    </row>
    <row r="3" spans="1:7" ht="15.75" x14ac:dyDescent="0.25">
      <c r="A3" s="12" t="str">
        <f>'Cost of Attendance'!C17</f>
        <v>Line 2</v>
      </c>
      <c r="B3" s="79"/>
      <c r="C3" s="79"/>
      <c r="D3" s="79"/>
      <c r="E3" s="79"/>
      <c r="F3" s="79"/>
      <c r="G3" s="79"/>
    </row>
    <row r="4" spans="1:7" ht="15.75" x14ac:dyDescent="0.25">
      <c r="A4" s="12" t="str">
        <f>'Cost of Attendance'!C18</f>
        <v>Line 3</v>
      </c>
      <c r="B4" s="79"/>
      <c r="C4" s="79"/>
      <c r="D4" s="79"/>
      <c r="E4" s="79"/>
      <c r="F4" s="79"/>
      <c r="G4" s="79"/>
    </row>
    <row r="5" spans="1:7" ht="15.75" x14ac:dyDescent="0.25">
      <c r="A5" s="12" t="str">
        <f>'Cost of Attendance'!C19</f>
        <v>Line 4</v>
      </c>
      <c r="B5" s="79"/>
      <c r="C5" s="79"/>
      <c r="D5" s="79"/>
      <c r="E5" s="79"/>
      <c r="F5" s="79"/>
      <c r="G5" s="79"/>
    </row>
    <row r="6" spans="1:7" ht="15.75" x14ac:dyDescent="0.25">
      <c r="A6" s="12" t="str">
        <f>'Cost of Attendance'!C20</f>
        <v>Zipcode / Postcode</v>
      </c>
      <c r="B6" s="79"/>
      <c r="C6" s="79"/>
      <c r="D6" s="79"/>
      <c r="E6" s="79"/>
      <c r="F6" s="79"/>
      <c r="G6" s="79"/>
    </row>
    <row r="7" spans="1:7" x14ac:dyDescent="0.2">
      <c r="A7" s="11"/>
      <c r="B7" s="79"/>
      <c r="C7" s="79"/>
      <c r="D7" s="79"/>
      <c r="E7" s="79"/>
      <c r="F7" s="79"/>
      <c r="G7" s="79"/>
    </row>
    <row r="8" spans="1:7" x14ac:dyDescent="0.2">
      <c r="A8" s="4"/>
      <c r="B8" s="79"/>
      <c r="C8" s="79"/>
      <c r="D8" s="79"/>
      <c r="E8" s="79"/>
      <c r="F8" s="79"/>
      <c r="G8" s="79"/>
    </row>
    <row r="9" spans="1:7" x14ac:dyDescent="0.2">
      <c r="B9" s="79"/>
      <c r="C9" s="79"/>
      <c r="D9" s="79"/>
      <c r="E9" s="79"/>
      <c r="F9" s="79"/>
      <c r="G9" s="79"/>
    </row>
    <row r="10" spans="1:7" x14ac:dyDescent="0.2">
      <c r="A10" s="79"/>
      <c r="B10" s="79"/>
      <c r="C10" s="79"/>
      <c r="D10" s="79"/>
      <c r="E10" s="79"/>
      <c r="F10" s="79"/>
      <c r="G10" s="79"/>
    </row>
    <row r="11" spans="1:7" ht="23.25" x14ac:dyDescent="0.35">
      <c r="A11" s="81" t="s">
        <v>96</v>
      </c>
      <c r="B11" s="79"/>
      <c r="C11" s="79"/>
      <c r="D11" s="79"/>
      <c r="E11" s="79"/>
      <c r="F11" s="79"/>
      <c r="G11" s="79"/>
    </row>
    <row r="12" spans="1:7" ht="23.25" x14ac:dyDescent="0.35">
      <c r="A12" s="82">
        <f>'Cost of Attendance'!C4</f>
        <v>0</v>
      </c>
      <c r="B12" s="79"/>
      <c r="C12" s="79"/>
      <c r="D12" s="79"/>
      <c r="E12" s="79"/>
      <c r="F12" s="79"/>
      <c r="G12" s="79"/>
    </row>
    <row r="13" spans="1:7" x14ac:dyDescent="0.2">
      <c r="A13" s="79"/>
      <c r="B13" s="79"/>
      <c r="C13" s="79"/>
      <c r="D13" s="79"/>
      <c r="E13" s="79"/>
      <c r="F13" s="79"/>
      <c r="G13" s="79"/>
    </row>
    <row r="14" spans="1:7" x14ac:dyDescent="0.2">
      <c r="A14" s="79"/>
      <c r="B14" s="79"/>
      <c r="C14" s="79"/>
      <c r="D14" s="79"/>
      <c r="E14" s="79"/>
      <c r="F14" s="79"/>
      <c r="G14" s="79"/>
    </row>
    <row r="15" spans="1:7" ht="18" x14ac:dyDescent="0.25">
      <c r="A15" s="83" t="s">
        <v>97</v>
      </c>
      <c r="B15" s="79"/>
      <c r="C15" s="79"/>
      <c r="D15" s="79"/>
      <c r="E15" s="79"/>
      <c r="F15" s="79"/>
      <c r="G15" s="79"/>
    </row>
    <row r="16" spans="1:7" x14ac:dyDescent="0.2">
      <c r="A16" s="79"/>
      <c r="B16" s="79"/>
      <c r="C16" s="79"/>
      <c r="D16" s="79"/>
      <c r="E16" s="79"/>
      <c r="F16" s="79"/>
      <c r="G16" s="79"/>
    </row>
    <row r="17" spans="1:7" s="8" customFormat="1" ht="15.75" x14ac:dyDescent="0.25">
      <c r="A17" s="84" t="s">
        <v>98</v>
      </c>
      <c r="B17" s="85" t="str">
        <f>'Cost of Attendance'!C15&amp;" "&amp;'Cost of Attendance'!C14</f>
        <v>Given Name (Forename) Family name (Surname)</v>
      </c>
      <c r="C17" s="7"/>
      <c r="D17" s="7"/>
      <c r="E17" s="7"/>
      <c r="F17" s="7"/>
      <c r="G17" s="7"/>
    </row>
    <row r="18" spans="1:7" s="8" customFormat="1" ht="15.75" x14ac:dyDescent="0.25">
      <c r="A18" s="84" t="s">
        <v>262</v>
      </c>
      <c r="B18" s="86">
        <f>'Cost of Attendance'!C22</f>
        <v>37985</v>
      </c>
      <c r="C18" s="7"/>
      <c r="D18" s="7"/>
      <c r="E18" s="7"/>
      <c r="F18" s="7"/>
      <c r="G18" s="7"/>
    </row>
    <row r="19" spans="1:7" s="8" customFormat="1" ht="15.75" x14ac:dyDescent="0.25">
      <c r="A19" s="84" t="s">
        <v>100</v>
      </c>
      <c r="B19" s="87" t="str">
        <f>'Cost of Attendance'!C24</f>
        <v>201700000</v>
      </c>
      <c r="C19" s="7"/>
      <c r="D19" s="7"/>
      <c r="E19" s="7"/>
      <c r="F19" s="7"/>
      <c r="G19" s="7"/>
    </row>
    <row r="20" spans="1:7" x14ac:dyDescent="0.2">
      <c r="A20" s="79"/>
      <c r="B20" s="79"/>
      <c r="C20" s="79"/>
      <c r="D20" s="79"/>
      <c r="E20" s="79"/>
      <c r="F20" s="79"/>
      <c r="G20" s="79"/>
    </row>
    <row r="21" spans="1:7" s="89" customFormat="1" ht="15" x14ac:dyDescent="0.2">
      <c r="A21" s="88" t="s">
        <v>101</v>
      </c>
      <c r="B21" s="88"/>
      <c r="C21" s="88"/>
      <c r="D21" s="88"/>
      <c r="E21" s="88"/>
      <c r="F21" s="88"/>
      <c r="G21" s="88"/>
    </row>
    <row r="22" spans="1:7" s="89" customFormat="1" ht="15" x14ac:dyDescent="0.2">
      <c r="A22" s="88"/>
      <c r="B22" s="88"/>
      <c r="C22" s="88"/>
      <c r="D22" s="88"/>
      <c r="E22" s="88"/>
      <c r="F22" s="88"/>
      <c r="G22" s="88"/>
    </row>
    <row r="23" spans="1:7" s="89" customFormat="1" ht="15" x14ac:dyDescent="0.2">
      <c r="A23" s="88" t="s">
        <v>382</v>
      </c>
      <c r="B23" s="88"/>
      <c r="C23" s="88"/>
      <c r="D23" s="88"/>
      <c r="E23" s="88"/>
      <c r="F23" s="88"/>
      <c r="G23" s="88"/>
    </row>
    <row r="24" spans="1:7" s="89" customFormat="1" ht="15" x14ac:dyDescent="0.2">
      <c r="A24" s="90" t="s">
        <v>102</v>
      </c>
      <c r="B24" s="88"/>
      <c r="C24" s="88"/>
      <c r="D24" s="88"/>
      <c r="E24" s="88"/>
      <c r="F24" s="88"/>
      <c r="G24" s="88"/>
    </row>
    <row r="25" spans="1:7" s="89" customFormat="1" ht="15" x14ac:dyDescent="0.2">
      <c r="A25" s="88" t="s">
        <v>103</v>
      </c>
      <c r="B25" s="88"/>
      <c r="C25" s="88"/>
      <c r="D25" s="88"/>
      <c r="E25" s="88"/>
      <c r="F25" s="88"/>
      <c r="G25" s="88"/>
    </row>
    <row r="26" spans="1:7" s="89" customFormat="1" ht="15" x14ac:dyDescent="0.2">
      <c r="A26" s="88" t="s">
        <v>104</v>
      </c>
      <c r="B26" s="88"/>
      <c r="C26" s="88"/>
      <c r="D26" s="88"/>
      <c r="E26" s="88"/>
      <c r="F26" s="88"/>
      <c r="G26" s="88"/>
    </row>
    <row r="27" spans="1:7" s="89" customFormat="1" ht="15" x14ac:dyDescent="0.2">
      <c r="A27" s="88"/>
      <c r="B27" s="88"/>
      <c r="C27" s="88"/>
      <c r="D27" s="88"/>
      <c r="E27" s="88"/>
      <c r="F27" s="88"/>
      <c r="G27" s="88"/>
    </row>
    <row r="28" spans="1:7" s="89" customFormat="1" ht="15" x14ac:dyDescent="0.2">
      <c r="A28" s="88" t="s">
        <v>105</v>
      </c>
      <c r="B28" s="88"/>
      <c r="C28" s="88"/>
      <c r="D28" s="88"/>
      <c r="E28" s="88"/>
      <c r="F28" s="88"/>
      <c r="G28" s="88"/>
    </row>
    <row r="29" spans="1:7" s="8" customFormat="1" ht="15.75" x14ac:dyDescent="0.25">
      <c r="A29" s="5" t="s">
        <v>106</v>
      </c>
      <c r="B29" s="6">
        <f>IF(('Cost of Attendance'!D34="n"),'Cost of Attendance'!J15,'Cost of Attendance'!J13)</f>
        <v>44823</v>
      </c>
      <c r="C29" s="7"/>
      <c r="D29" s="7"/>
      <c r="E29" s="7"/>
      <c r="F29" s="7"/>
      <c r="G29" s="7"/>
    </row>
    <row r="30" spans="1:7" s="8" customFormat="1" ht="15.75" x14ac:dyDescent="0.25">
      <c r="A30" s="5" t="s">
        <v>107</v>
      </c>
      <c r="B30" s="6">
        <f>IF(('Cost of Attendance'!D34="n"),'Cost of Attendance'!J16,'Cost of Attendance'!J14)</f>
        <v>45121</v>
      </c>
      <c r="C30" s="7"/>
      <c r="D30" s="7"/>
      <c r="E30" s="7"/>
      <c r="F30" s="7"/>
      <c r="G30" s="7"/>
    </row>
    <row r="31" spans="1:7" ht="15.75" customHeight="1" x14ac:dyDescent="0.2">
      <c r="A31" s="79"/>
      <c r="B31" s="79"/>
      <c r="C31" s="79"/>
      <c r="D31" s="79"/>
      <c r="E31" s="79"/>
      <c r="F31" s="79"/>
      <c r="G31" s="79"/>
    </row>
    <row r="32" spans="1:7" ht="15.75" customHeight="1" x14ac:dyDescent="0.2">
      <c r="A32" s="88" t="s">
        <v>235</v>
      </c>
      <c r="B32" s="79"/>
      <c r="C32" s="79"/>
      <c r="D32" s="79"/>
      <c r="E32" s="79"/>
      <c r="F32" s="79"/>
      <c r="G32" s="79"/>
    </row>
    <row r="33" spans="1:7" s="89" customFormat="1" ht="15.75" customHeight="1" x14ac:dyDescent="0.2">
      <c r="A33" s="89" t="s">
        <v>234</v>
      </c>
      <c r="B33" s="88"/>
      <c r="C33" s="88"/>
      <c r="D33" s="88"/>
      <c r="E33" s="88"/>
      <c r="F33" s="88"/>
      <c r="G33" s="88"/>
    </row>
    <row r="34" spans="1:7" s="8" customFormat="1" ht="15.75" customHeight="1" x14ac:dyDescent="0.25">
      <c r="A34" s="91" t="s">
        <v>76</v>
      </c>
      <c r="B34" s="92" t="s">
        <v>108</v>
      </c>
      <c r="C34" s="7"/>
      <c r="D34" s="7"/>
      <c r="E34" s="7"/>
      <c r="F34" s="7"/>
      <c r="G34" s="7"/>
    </row>
    <row r="35" spans="1:7" s="8" customFormat="1" ht="15.75" customHeight="1" x14ac:dyDescent="0.25">
      <c r="A35" s="84" t="s">
        <v>109</v>
      </c>
      <c r="B35" s="93">
        <f>'Cost of Attendance'!D81</f>
        <v>3500</v>
      </c>
      <c r="C35" s="7"/>
      <c r="D35" s="7"/>
      <c r="E35" s="7"/>
      <c r="F35" s="7"/>
      <c r="G35" s="7"/>
    </row>
    <row r="36" spans="1:7" s="8" customFormat="1" ht="15.75" customHeight="1" x14ac:dyDescent="0.25">
      <c r="A36" s="84" t="s">
        <v>110</v>
      </c>
      <c r="B36" s="93">
        <f>'Cost of Attendance'!D82</f>
        <v>2000</v>
      </c>
      <c r="C36" s="7"/>
      <c r="D36" s="7"/>
      <c r="E36" s="7"/>
      <c r="F36" s="7"/>
      <c r="G36" s="7"/>
    </row>
    <row r="37" spans="1:7" s="8" customFormat="1" ht="15.75" customHeight="1" x14ac:dyDescent="0.25">
      <c r="A37" s="84" t="s">
        <v>111</v>
      </c>
      <c r="B37" s="93">
        <f>'Cost of Attendance'!D84</f>
        <v>40756</v>
      </c>
      <c r="C37" s="7"/>
      <c r="D37" s="7"/>
      <c r="E37" s="7"/>
      <c r="F37" s="7"/>
      <c r="G37" s="7"/>
    </row>
    <row r="38" spans="1:7" s="8" customFormat="1" ht="15.75" customHeight="1" thickBot="1" x14ac:dyDescent="0.3">
      <c r="A38" s="94" t="s">
        <v>74</v>
      </c>
      <c r="B38" s="93">
        <f>'Cost of Attendance'!D85</f>
        <v>46256</v>
      </c>
      <c r="C38" s="7"/>
      <c r="D38" s="7"/>
      <c r="E38" s="7"/>
      <c r="F38" s="7"/>
      <c r="G38" s="7"/>
    </row>
    <row r="39" spans="1:7" ht="15.75" customHeight="1" thickTop="1" x14ac:dyDescent="0.2">
      <c r="A39" s="79"/>
      <c r="B39" s="95"/>
      <c r="C39" s="79"/>
      <c r="D39" s="79"/>
      <c r="E39" s="79"/>
      <c r="F39" s="79"/>
      <c r="G39" s="79"/>
    </row>
    <row r="40" spans="1:7" s="89" customFormat="1" ht="15.75" customHeight="1" x14ac:dyDescent="0.2">
      <c r="A40" s="88" t="s">
        <v>112</v>
      </c>
      <c r="B40" s="96"/>
      <c r="C40" s="88"/>
      <c r="D40" s="88"/>
      <c r="E40" s="88"/>
      <c r="F40" s="88"/>
      <c r="G40" s="88"/>
    </row>
    <row r="41" spans="1:7" s="8" customFormat="1" ht="15.75" customHeight="1" x14ac:dyDescent="0.25">
      <c r="A41" s="6">
        <f>'Cost of Attendance'!M13</f>
        <v>44825</v>
      </c>
      <c r="B41" s="93">
        <f>'Cost of Attendance'!N13</f>
        <v>15419</v>
      </c>
      <c r="C41" s="7"/>
      <c r="D41" s="7"/>
      <c r="E41" s="7"/>
      <c r="F41" s="7"/>
      <c r="G41" s="7"/>
    </row>
    <row r="42" spans="1:7" s="8" customFormat="1" ht="15.75" customHeight="1" x14ac:dyDescent="0.25">
      <c r="A42" s="6">
        <f>'Cost of Attendance'!M14</f>
        <v>44935</v>
      </c>
      <c r="B42" s="93">
        <f>'Cost of Attendance'!N14</f>
        <v>15419</v>
      </c>
      <c r="C42" s="7"/>
      <c r="D42" s="7"/>
      <c r="E42" s="7"/>
      <c r="F42" s="7"/>
      <c r="G42" s="7"/>
    </row>
    <row r="43" spans="1:7" s="8" customFormat="1" ht="15.75" customHeight="1" x14ac:dyDescent="0.25">
      <c r="A43" s="6">
        <f>'Cost of Attendance'!M15</f>
        <v>45040</v>
      </c>
      <c r="B43" s="93">
        <f>'Cost of Attendance'!N15</f>
        <v>15419</v>
      </c>
      <c r="C43" s="7"/>
      <c r="D43" s="7"/>
      <c r="E43" s="7"/>
      <c r="F43" s="7"/>
      <c r="G43" s="7"/>
    </row>
    <row r="44" spans="1:7" s="8" customFormat="1" ht="15.75" customHeight="1" x14ac:dyDescent="0.25">
      <c r="A44" s="6" t="str">
        <f>IF(('Cost of Attendance'!M16&gt;'Cost of Attendance'!J15),'Cost of Attendance'!M16,"")</f>
        <v/>
      </c>
      <c r="B44" s="93" t="str">
        <f>'Cost of Attendance'!N16</f>
        <v/>
      </c>
      <c r="C44" s="7"/>
      <c r="D44" s="7"/>
      <c r="E44" s="7"/>
      <c r="F44" s="7"/>
      <c r="G44" s="7"/>
    </row>
    <row r="45" spans="1:7" s="8" customFormat="1" ht="15.75" customHeight="1" x14ac:dyDescent="0.25">
      <c r="A45" s="97" t="s">
        <v>290</v>
      </c>
      <c r="B45" s="93">
        <f>B38-(SUM(B41:B44))</f>
        <v>-1</v>
      </c>
      <c r="C45" s="7"/>
      <c r="D45" s="7"/>
      <c r="E45" s="7"/>
      <c r="F45" s="7"/>
      <c r="G45" s="7"/>
    </row>
    <row r="46" spans="1:7" s="8" customFormat="1" ht="15.75" customHeight="1" thickBot="1" x14ac:dyDescent="0.3">
      <c r="A46" s="10" t="s">
        <v>74</v>
      </c>
      <c r="B46" s="98">
        <f>SUM(B41:B45)</f>
        <v>46256</v>
      </c>
      <c r="C46" s="7"/>
      <c r="D46" s="7"/>
      <c r="E46" s="7"/>
      <c r="F46" s="7"/>
      <c r="G46" s="7"/>
    </row>
    <row r="47" spans="1:7" ht="13.5" thickTop="1" x14ac:dyDescent="0.2">
      <c r="A47" s="79"/>
      <c r="B47" s="79"/>
      <c r="C47" s="79"/>
      <c r="D47" s="79"/>
      <c r="E47" s="79"/>
      <c r="F47" s="79"/>
      <c r="G47" s="79"/>
    </row>
    <row r="48" spans="1:7" s="89" customFormat="1" ht="15" x14ac:dyDescent="0.2">
      <c r="A48" s="88" t="s">
        <v>113</v>
      </c>
      <c r="B48" s="88"/>
      <c r="C48" s="88"/>
      <c r="D48" s="88"/>
      <c r="E48" s="88"/>
      <c r="F48" s="88"/>
      <c r="G48" s="88"/>
    </row>
    <row r="49" spans="1:7" s="89" customFormat="1" ht="15" x14ac:dyDescent="0.2">
      <c r="A49" s="88" t="s">
        <v>124</v>
      </c>
      <c r="B49" s="88"/>
      <c r="C49" s="88"/>
      <c r="D49" s="88"/>
      <c r="E49" s="88"/>
      <c r="F49" s="88"/>
      <c r="G49" s="88"/>
    </row>
    <row r="50" spans="1:7" s="89" customFormat="1" ht="15" x14ac:dyDescent="0.2">
      <c r="A50" s="88" t="s">
        <v>125</v>
      </c>
      <c r="B50" s="88"/>
      <c r="C50" s="88"/>
      <c r="D50" s="88"/>
      <c r="E50" s="88"/>
      <c r="F50" s="88"/>
      <c r="G50" s="88"/>
    </row>
    <row r="51" spans="1:7" s="89" customFormat="1" ht="15" x14ac:dyDescent="0.2">
      <c r="A51" s="89" t="s">
        <v>114</v>
      </c>
      <c r="B51" s="88"/>
      <c r="C51" s="88"/>
      <c r="D51" s="88"/>
      <c r="E51" s="88"/>
      <c r="F51" s="88"/>
      <c r="G51" s="88"/>
    </row>
    <row r="52" spans="1:7" s="89" customFormat="1" ht="15" x14ac:dyDescent="0.2">
      <c r="A52" s="88" t="str">
        <f>(IF(('School DATA'!D26&gt;0),'School DATA'!D26,""))&amp;"    "&amp;(IF(('School DATA'!D30&gt;0),'School DATA'!D30,""))</f>
        <v xml:space="preserve">AA    </v>
      </c>
      <c r="B52" s="88"/>
      <c r="C52" s="88"/>
      <c r="D52" s="88"/>
      <c r="E52" s="88"/>
      <c r="F52" s="88"/>
      <c r="G52" s="88"/>
    </row>
    <row r="53" spans="1:7" s="89" customFormat="1" ht="15" x14ac:dyDescent="0.2">
      <c r="A53" s="88" t="str">
        <f>(IF(('School DATA'!D27&gt;0),'School DATA'!D27,""))&amp;"    "&amp;(IF(('School DATA'!D31&gt;0),'School DATA'!D31,""))</f>
        <v xml:space="preserve">DAG    </v>
      </c>
      <c r="B53" s="88"/>
      <c r="C53" s="88"/>
      <c r="D53" s="88"/>
      <c r="E53" s="88"/>
      <c r="F53" s="88"/>
      <c r="G53" s="88"/>
    </row>
    <row r="54" spans="1:7" s="89" customFormat="1" ht="15" x14ac:dyDescent="0.2">
      <c r="A54" s="88" t="str">
        <f>(IF(('School DATA'!D28&gt;0),'School DATA'!D28,""))&amp;"    "&amp;(IF(('School DATA'!D32&gt;0),'School DATA'!D32,""))</f>
        <v xml:space="preserve">    </v>
      </c>
      <c r="B54" s="88"/>
      <c r="C54" s="88"/>
      <c r="D54" s="88"/>
      <c r="E54" s="88"/>
      <c r="F54" s="88"/>
      <c r="G54" s="88"/>
    </row>
    <row r="55" spans="1:7" s="89" customFormat="1" ht="15" x14ac:dyDescent="0.2">
      <c r="A55" s="88" t="str">
        <f>(IF(('School DATA'!D29&gt;0),'School DATA'!D29,""))&amp;"    "&amp;(IF(('School DATA'!D33&gt;0),'School DATA'!D33,""))</f>
        <v xml:space="preserve">    </v>
      </c>
      <c r="B55" s="88"/>
      <c r="C55" s="88"/>
      <c r="D55" s="88"/>
      <c r="E55" s="88"/>
      <c r="F55" s="88"/>
      <c r="G55" s="88"/>
    </row>
    <row r="56" spans="1:7" s="89" customFormat="1" ht="15" x14ac:dyDescent="0.2">
      <c r="C56" s="88"/>
      <c r="D56" s="88"/>
      <c r="E56" s="88"/>
      <c r="F56" s="88"/>
      <c r="G56" s="88"/>
    </row>
    <row r="57" spans="1:7" s="89" customFormat="1" ht="15" x14ac:dyDescent="0.2">
      <c r="A57" s="88" t="s">
        <v>115</v>
      </c>
      <c r="B57" s="88"/>
      <c r="C57" s="88"/>
      <c r="D57" s="88"/>
      <c r="E57" s="88"/>
      <c r="F57" s="88"/>
      <c r="G57" s="88"/>
    </row>
    <row r="58" spans="1:7" s="89" customFormat="1" ht="15" x14ac:dyDescent="0.2">
      <c r="B58" s="88"/>
      <c r="C58" s="88"/>
      <c r="D58" s="88"/>
      <c r="E58" s="88"/>
      <c r="F58" s="88"/>
      <c r="G58" s="88"/>
    </row>
    <row r="59" spans="1:7" s="89" customFormat="1" ht="15" x14ac:dyDescent="0.2">
      <c r="B59" s="88"/>
      <c r="C59" s="88"/>
      <c r="D59" s="88"/>
      <c r="E59" s="88"/>
      <c r="F59" s="88"/>
      <c r="G59" s="88"/>
    </row>
    <row r="60" spans="1:7" ht="15" x14ac:dyDescent="0.2">
      <c r="A60" s="89" t="s">
        <v>123</v>
      </c>
      <c r="B60" s="99">
        <f ca="1">TODAY()</f>
        <v>44713</v>
      </c>
      <c r="C60" s="79"/>
      <c r="D60" s="79"/>
      <c r="E60" s="79"/>
      <c r="F60" s="79"/>
      <c r="G60" s="79"/>
    </row>
    <row r="61" spans="1:7" ht="15" x14ac:dyDescent="0.2">
      <c r="A61" s="88"/>
      <c r="B61" s="79"/>
      <c r="C61" s="79"/>
      <c r="D61" s="79"/>
      <c r="E61" s="79"/>
      <c r="F61" s="79"/>
      <c r="G61" s="79"/>
    </row>
    <row r="62" spans="1:7" x14ac:dyDescent="0.2">
      <c r="A62" s="79"/>
      <c r="B62" s="79"/>
      <c r="C62" s="79"/>
      <c r="D62" s="79"/>
      <c r="E62" s="79"/>
      <c r="F62" s="79"/>
      <c r="G62" s="79"/>
    </row>
    <row r="63" spans="1:7" x14ac:dyDescent="0.2">
      <c r="A63" s="79"/>
      <c r="B63" s="79"/>
      <c r="C63" s="79"/>
      <c r="D63" s="79"/>
      <c r="E63" s="79"/>
      <c r="F63" s="79"/>
      <c r="G63" s="79"/>
    </row>
    <row r="64" spans="1:7" x14ac:dyDescent="0.2">
      <c r="C64" s="79"/>
      <c r="D64" s="79"/>
      <c r="E64" s="79"/>
      <c r="F64" s="79"/>
      <c r="G64" s="79"/>
    </row>
    <row r="65" spans="3:7" x14ac:dyDescent="0.2">
      <c r="C65" s="79"/>
      <c r="D65" s="79"/>
      <c r="E65" s="79"/>
      <c r="F65" s="79"/>
      <c r="G65" s="79"/>
    </row>
    <row r="66" spans="3:7" x14ac:dyDescent="0.2">
      <c r="C66" s="79"/>
      <c r="D66" s="79"/>
      <c r="E66" s="79"/>
      <c r="F66" s="79"/>
      <c r="G66" s="79"/>
    </row>
  </sheetData>
  <sheetProtection password="C4C2" sheet="1" objects="1" scenarios="1" selectLockedCells="1"/>
  <phoneticPr fontId="5" type="noConversion"/>
  <pageMargins left="0.96" right="0.75" top="2.54" bottom="1" header="0.5" footer="0.5"/>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G58"/>
  <sheetViews>
    <sheetView zoomScaleNormal="100" workbookViewId="0">
      <selection activeCell="H21" sqref="H21"/>
    </sheetView>
  </sheetViews>
  <sheetFormatPr defaultColWidth="9.140625" defaultRowHeight="12.75" x14ac:dyDescent="0.2"/>
  <cols>
    <col min="1" max="1" width="29.28515625" style="80" customWidth="1"/>
    <col min="2" max="2" width="61.7109375" style="80" customWidth="1"/>
    <col min="3" max="16384" width="9.140625" style="80"/>
  </cols>
  <sheetData>
    <row r="1" spans="1:7" ht="15.75" x14ac:dyDescent="0.25">
      <c r="A1" s="361" t="str">
        <f>'Cost of Attendance'!C15&amp;" "&amp;'Cost of Attendance'!C14</f>
        <v>Given Name (Forename) Family name (Surname)</v>
      </c>
      <c r="B1" s="79"/>
      <c r="C1" s="79"/>
      <c r="D1" s="79"/>
      <c r="E1" s="79"/>
      <c r="F1" s="79"/>
      <c r="G1" s="79"/>
    </row>
    <row r="2" spans="1:7" ht="15.75" x14ac:dyDescent="0.25">
      <c r="A2" s="12" t="str">
        <f>'Cost of Attendance'!C16</f>
        <v>Line 1</v>
      </c>
      <c r="B2" s="79"/>
      <c r="C2" s="79"/>
      <c r="D2" s="79"/>
      <c r="E2" s="79"/>
      <c r="F2" s="79"/>
      <c r="G2" s="79"/>
    </row>
    <row r="3" spans="1:7" ht="15.75" x14ac:dyDescent="0.25">
      <c r="A3" s="12" t="str">
        <f>'Cost of Attendance'!C17</f>
        <v>Line 2</v>
      </c>
      <c r="B3" s="79"/>
      <c r="C3" s="79"/>
      <c r="D3" s="79"/>
      <c r="E3" s="79"/>
      <c r="F3" s="79"/>
      <c r="G3" s="79"/>
    </row>
    <row r="4" spans="1:7" ht="15.75" x14ac:dyDescent="0.25">
      <c r="A4" s="12" t="str">
        <f>'Cost of Attendance'!C18</f>
        <v>Line 3</v>
      </c>
      <c r="B4" s="79"/>
      <c r="C4" s="79"/>
      <c r="D4" s="79"/>
      <c r="E4" s="79"/>
      <c r="F4" s="79"/>
      <c r="G4" s="79"/>
    </row>
    <row r="5" spans="1:7" ht="15.75" x14ac:dyDescent="0.25">
      <c r="A5" s="12" t="str">
        <f>'Cost of Attendance'!C19</f>
        <v>Line 4</v>
      </c>
      <c r="B5" s="79"/>
      <c r="C5" s="79"/>
      <c r="D5" s="79"/>
      <c r="E5" s="79"/>
      <c r="F5" s="79"/>
      <c r="G5" s="79"/>
    </row>
    <row r="6" spans="1:7" ht="15.75" x14ac:dyDescent="0.25">
      <c r="A6" s="12" t="str">
        <f>'Cost of Attendance'!C20</f>
        <v>Zipcode / Postcode</v>
      </c>
      <c r="B6" s="79"/>
      <c r="C6" s="79"/>
      <c r="D6" s="79"/>
      <c r="E6" s="79"/>
      <c r="F6" s="79"/>
      <c r="G6" s="79"/>
    </row>
    <row r="7" spans="1:7" x14ac:dyDescent="0.2">
      <c r="A7" s="11"/>
      <c r="B7" s="79"/>
      <c r="C7" s="79"/>
      <c r="D7" s="79"/>
      <c r="E7" s="79"/>
      <c r="F7" s="79"/>
      <c r="G7" s="79"/>
    </row>
    <row r="8" spans="1:7" x14ac:dyDescent="0.2">
      <c r="A8" s="4"/>
      <c r="B8" s="79"/>
      <c r="C8" s="79"/>
      <c r="D8" s="79"/>
      <c r="E8" s="79"/>
      <c r="F8" s="79"/>
      <c r="G8" s="79"/>
    </row>
    <row r="9" spans="1:7" x14ac:dyDescent="0.2">
      <c r="B9" s="79"/>
      <c r="C9" s="79"/>
      <c r="D9" s="79"/>
      <c r="E9" s="79"/>
      <c r="F9" s="79"/>
      <c r="G9" s="79"/>
    </row>
    <row r="10" spans="1:7" x14ac:dyDescent="0.2">
      <c r="A10" s="79"/>
      <c r="B10" s="79"/>
      <c r="C10" s="79"/>
      <c r="D10" s="79"/>
      <c r="E10" s="79"/>
      <c r="F10" s="79"/>
      <c r="G10" s="79"/>
    </row>
    <row r="11" spans="1:7" ht="23.25" x14ac:dyDescent="0.35">
      <c r="A11" s="81" t="s">
        <v>96</v>
      </c>
      <c r="B11" s="79"/>
      <c r="C11" s="79"/>
      <c r="D11" s="79"/>
      <c r="E11" s="79"/>
      <c r="F11" s="79"/>
      <c r="G11" s="79"/>
    </row>
    <row r="12" spans="1:7" ht="23.25" x14ac:dyDescent="0.35">
      <c r="A12" s="82">
        <f>'Cost of Attendance'!C4</f>
        <v>0</v>
      </c>
      <c r="B12" s="79"/>
      <c r="C12" s="79"/>
      <c r="D12" s="79"/>
      <c r="E12" s="79"/>
      <c r="F12" s="79"/>
      <c r="G12" s="79"/>
    </row>
    <row r="13" spans="1:7" x14ac:dyDescent="0.2">
      <c r="A13" s="79"/>
      <c r="B13" s="79"/>
      <c r="C13" s="79"/>
      <c r="D13" s="79"/>
      <c r="E13" s="79"/>
      <c r="F13" s="79"/>
      <c r="G13" s="79"/>
    </row>
    <row r="14" spans="1:7" x14ac:dyDescent="0.2">
      <c r="A14" s="79"/>
      <c r="B14" s="79"/>
      <c r="C14" s="79"/>
      <c r="D14" s="79"/>
      <c r="E14" s="79"/>
      <c r="F14" s="79"/>
      <c r="G14" s="79"/>
    </row>
    <row r="15" spans="1:7" ht="18" x14ac:dyDescent="0.25">
      <c r="A15" s="83" t="s">
        <v>97</v>
      </c>
      <c r="B15" s="79"/>
      <c r="C15" s="79"/>
      <c r="D15" s="79"/>
      <c r="E15" s="79"/>
      <c r="F15" s="79"/>
      <c r="G15" s="79"/>
    </row>
    <row r="16" spans="1:7" x14ac:dyDescent="0.2">
      <c r="A16" s="79"/>
      <c r="B16" s="79"/>
      <c r="C16" s="79"/>
      <c r="D16" s="79"/>
      <c r="E16" s="79"/>
      <c r="F16" s="79"/>
      <c r="G16" s="79"/>
    </row>
    <row r="17" spans="1:7" s="8" customFormat="1" ht="15.75" x14ac:dyDescent="0.25">
      <c r="A17" s="84" t="s">
        <v>98</v>
      </c>
      <c r="B17" s="85" t="str">
        <f>'Cost of Attendance'!C15&amp;" "&amp;'Cost of Attendance'!C14</f>
        <v>Given Name (Forename) Family name (Surname)</v>
      </c>
      <c r="C17" s="7"/>
      <c r="D17" s="7"/>
      <c r="E17" s="7"/>
      <c r="F17" s="7"/>
      <c r="G17" s="7"/>
    </row>
    <row r="18" spans="1:7" s="8" customFormat="1" ht="31.5" x14ac:dyDescent="0.25">
      <c r="A18" s="84" t="s">
        <v>99</v>
      </c>
      <c r="B18" s="86">
        <f>'Cost of Attendance'!C22</f>
        <v>37985</v>
      </c>
      <c r="C18" s="7"/>
      <c r="D18" s="7"/>
      <c r="E18" s="7"/>
      <c r="F18" s="7"/>
      <c r="G18" s="7"/>
    </row>
    <row r="19" spans="1:7" s="8" customFormat="1" ht="15.75" x14ac:dyDescent="0.25">
      <c r="A19" s="84" t="s">
        <v>100</v>
      </c>
      <c r="B19" s="87" t="str">
        <f>'Cost of Attendance'!C24</f>
        <v>201700000</v>
      </c>
      <c r="C19" s="7"/>
      <c r="D19" s="7"/>
      <c r="E19" s="7"/>
      <c r="F19" s="7"/>
      <c r="G19" s="7"/>
    </row>
    <row r="20" spans="1:7" x14ac:dyDescent="0.2">
      <c r="A20" s="79"/>
      <c r="B20" s="79"/>
      <c r="C20" s="79"/>
      <c r="D20" s="79"/>
      <c r="E20" s="79"/>
      <c r="F20" s="79"/>
      <c r="G20" s="79"/>
    </row>
    <row r="21" spans="1:7" s="89" customFormat="1" ht="15" x14ac:dyDescent="0.2">
      <c r="A21" s="88" t="s">
        <v>101</v>
      </c>
      <c r="B21" s="88"/>
      <c r="C21" s="88"/>
      <c r="D21" s="88"/>
      <c r="E21" s="88"/>
      <c r="F21" s="88"/>
      <c r="G21" s="88"/>
    </row>
    <row r="22" spans="1:7" s="89" customFormat="1" ht="15" x14ac:dyDescent="0.2">
      <c r="A22" s="88"/>
      <c r="B22" s="88"/>
      <c r="C22" s="88"/>
      <c r="D22" s="88"/>
      <c r="E22" s="88"/>
      <c r="F22" s="88"/>
      <c r="G22" s="88"/>
    </row>
    <row r="23" spans="1:7" s="89" customFormat="1" ht="15" x14ac:dyDescent="0.2">
      <c r="A23" s="90" t="s">
        <v>169</v>
      </c>
      <c r="B23" s="88"/>
      <c r="C23" s="88"/>
      <c r="D23" s="88"/>
      <c r="E23" s="88"/>
      <c r="F23" s="88"/>
      <c r="G23" s="88"/>
    </row>
    <row r="24" spans="1:7" s="89" customFormat="1" ht="15" x14ac:dyDescent="0.2">
      <c r="A24" s="88" t="s">
        <v>261</v>
      </c>
      <c r="B24" s="88"/>
      <c r="C24" s="88"/>
      <c r="D24" s="88"/>
      <c r="E24" s="88"/>
      <c r="F24" s="88"/>
      <c r="G24" s="88"/>
    </row>
    <row r="25" spans="1:7" s="89" customFormat="1" ht="15" x14ac:dyDescent="0.2">
      <c r="A25" s="88"/>
      <c r="B25" s="88"/>
      <c r="C25" s="88"/>
      <c r="D25" s="88"/>
      <c r="E25" s="88"/>
      <c r="F25" s="88"/>
      <c r="G25" s="88"/>
    </row>
    <row r="26" spans="1:7" s="89" customFormat="1" ht="15" x14ac:dyDescent="0.2">
      <c r="A26" s="88" t="s">
        <v>170</v>
      </c>
      <c r="B26" s="88"/>
      <c r="C26" s="88"/>
      <c r="D26" s="88"/>
      <c r="E26" s="88"/>
      <c r="F26" s="88"/>
      <c r="G26" s="88"/>
    </row>
    <row r="27" spans="1:7" s="8" customFormat="1" ht="15.75" x14ac:dyDescent="0.25">
      <c r="A27" s="5" t="s">
        <v>106</v>
      </c>
      <c r="B27" s="6">
        <f>IF(('Cost of Attendance'!D34="n"),'Cost of Attendance'!J15,'Cost of Attendance'!J13)</f>
        <v>44823</v>
      </c>
      <c r="C27" s="7"/>
      <c r="D27" s="7"/>
      <c r="E27" s="7"/>
      <c r="F27" s="7"/>
      <c r="G27" s="7"/>
    </row>
    <row r="28" spans="1:7" s="8" customFormat="1" ht="15.75" x14ac:dyDescent="0.25">
      <c r="A28" s="5" t="s">
        <v>107</v>
      </c>
      <c r="B28" s="6">
        <f>IF(('Cost of Attendance'!D34="n"),'Cost of Attendance'!J16,'Cost of Attendance'!J14)</f>
        <v>45121</v>
      </c>
      <c r="C28" s="7"/>
      <c r="D28" s="7"/>
      <c r="E28" s="7"/>
      <c r="F28" s="7"/>
      <c r="G28" s="7"/>
    </row>
    <row r="29" spans="1:7" x14ac:dyDescent="0.2">
      <c r="A29" s="79"/>
      <c r="B29" s="79"/>
      <c r="C29" s="79"/>
      <c r="D29" s="79"/>
      <c r="E29" s="79"/>
      <c r="F29" s="79"/>
      <c r="G29" s="79"/>
    </row>
    <row r="30" spans="1:7" ht="15" x14ac:dyDescent="0.2">
      <c r="A30" s="88" t="s">
        <v>260</v>
      </c>
      <c r="B30" s="79"/>
      <c r="C30" s="79"/>
      <c r="D30" s="79"/>
      <c r="E30" s="79"/>
      <c r="F30" s="79"/>
      <c r="G30" s="79"/>
    </row>
    <row r="31" spans="1:7" s="8" customFormat="1" ht="16.5" thickBot="1" x14ac:dyDescent="0.3">
      <c r="A31" s="94" t="s">
        <v>171</v>
      </c>
      <c r="B31" s="9">
        <f>'Cost of Attendance'!E85</f>
        <v>44475</v>
      </c>
      <c r="C31" s="7"/>
      <c r="D31" s="7"/>
      <c r="E31" s="7"/>
      <c r="F31" s="7"/>
      <c r="G31" s="7"/>
    </row>
    <row r="32" spans="1:7" ht="13.5" thickTop="1" x14ac:dyDescent="0.2">
      <c r="A32" s="79"/>
      <c r="B32" s="122"/>
      <c r="C32" s="79"/>
      <c r="D32" s="79"/>
      <c r="E32" s="79"/>
      <c r="F32" s="79"/>
      <c r="G32" s="79"/>
    </row>
    <row r="33" spans="1:7" ht="15" x14ac:dyDescent="0.2">
      <c r="A33" s="88" t="s">
        <v>112</v>
      </c>
      <c r="B33" s="122"/>
      <c r="C33" s="79"/>
      <c r="D33" s="79"/>
      <c r="E33" s="79"/>
      <c r="F33" s="79"/>
      <c r="G33" s="79"/>
    </row>
    <row r="34" spans="1:7" s="8" customFormat="1" ht="15.75" x14ac:dyDescent="0.25">
      <c r="A34" s="6">
        <f>'Cost of Attendance'!M13</f>
        <v>44825</v>
      </c>
      <c r="B34" s="9">
        <f>B31</f>
        <v>44475</v>
      </c>
      <c r="C34" s="7"/>
      <c r="D34" s="7"/>
      <c r="E34" s="7"/>
      <c r="F34" s="7"/>
      <c r="G34" s="7"/>
    </row>
    <row r="35" spans="1:7" s="8" customFormat="1" ht="15.75" x14ac:dyDescent="0.25">
      <c r="A35" s="6"/>
      <c r="B35" s="9"/>
      <c r="C35" s="7"/>
      <c r="D35" s="7"/>
      <c r="E35" s="7"/>
      <c r="F35" s="7"/>
      <c r="G35" s="7"/>
    </row>
    <row r="36" spans="1:7" s="8" customFormat="1" ht="15.75" x14ac:dyDescent="0.25">
      <c r="A36" s="6"/>
      <c r="B36" s="9"/>
      <c r="C36" s="7"/>
      <c r="D36" s="7"/>
      <c r="E36" s="7"/>
      <c r="F36" s="7"/>
      <c r="G36" s="7"/>
    </row>
    <row r="37" spans="1:7" s="8" customFormat="1" ht="15.75" x14ac:dyDescent="0.25">
      <c r="A37" s="6"/>
      <c r="B37" s="9"/>
      <c r="C37" s="7"/>
      <c r="D37" s="7"/>
      <c r="E37" s="7"/>
      <c r="F37" s="7"/>
      <c r="G37" s="7"/>
    </row>
    <row r="38" spans="1:7" s="8" customFormat="1" ht="16.5" thickBot="1" x14ac:dyDescent="0.3">
      <c r="A38" s="10" t="s">
        <v>74</v>
      </c>
      <c r="B38" s="9">
        <f>SUM(B34:B37)</f>
        <v>44475</v>
      </c>
      <c r="C38" s="7"/>
      <c r="D38" s="7"/>
      <c r="E38" s="7"/>
      <c r="F38" s="7"/>
      <c r="G38" s="7"/>
    </row>
    <row r="39" spans="1:7" ht="13.5" thickTop="1" x14ac:dyDescent="0.2">
      <c r="A39" s="79"/>
      <c r="B39" s="79"/>
      <c r="C39" s="79"/>
      <c r="D39" s="79"/>
      <c r="E39" s="79"/>
      <c r="F39" s="79"/>
      <c r="G39" s="79"/>
    </row>
    <row r="40" spans="1:7" s="89" customFormat="1" ht="15" x14ac:dyDescent="0.2">
      <c r="A40" s="88" t="s">
        <v>113</v>
      </c>
      <c r="B40" s="88"/>
      <c r="C40" s="88"/>
      <c r="D40" s="88"/>
      <c r="E40" s="88"/>
      <c r="F40" s="88"/>
      <c r="G40" s="88"/>
    </row>
    <row r="41" spans="1:7" s="89" customFormat="1" ht="15" x14ac:dyDescent="0.2">
      <c r="A41" s="88" t="s">
        <v>124</v>
      </c>
      <c r="B41" s="88"/>
      <c r="C41" s="88"/>
      <c r="D41" s="88"/>
      <c r="E41" s="88"/>
      <c r="F41" s="88"/>
      <c r="G41" s="88"/>
    </row>
    <row r="42" spans="1:7" s="89" customFormat="1" ht="15" x14ac:dyDescent="0.2">
      <c r="A42" s="88" t="s">
        <v>125</v>
      </c>
      <c r="B42" s="88"/>
      <c r="C42" s="88"/>
      <c r="D42" s="88"/>
      <c r="E42" s="88"/>
      <c r="F42" s="88"/>
      <c r="G42" s="88"/>
    </row>
    <row r="43" spans="1:7" s="89" customFormat="1" ht="15" x14ac:dyDescent="0.2">
      <c r="A43" s="89" t="s">
        <v>114</v>
      </c>
      <c r="B43" s="88"/>
      <c r="C43" s="88"/>
      <c r="D43" s="88"/>
      <c r="E43" s="88"/>
      <c r="F43" s="88"/>
      <c r="G43" s="88"/>
    </row>
    <row r="44" spans="1:7" s="89" customFormat="1" ht="15" x14ac:dyDescent="0.2">
      <c r="A44" s="88" t="str">
        <f>(IF(('School DATA'!D26&gt;0),'School DATA'!D26,""))&amp;"    "&amp;(IF(('School DATA'!D30&gt;0),'School DATA'!D30,""))</f>
        <v xml:space="preserve">AA    </v>
      </c>
      <c r="B44" s="88"/>
      <c r="C44" s="88"/>
      <c r="D44" s="88"/>
      <c r="E44" s="88"/>
      <c r="F44" s="88"/>
      <c r="G44" s="88"/>
    </row>
    <row r="45" spans="1:7" s="89" customFormat="1" ht="15" x14ac:dyDescent="0.2">
      <c r="A45" s="88" t="str">
        <f>(IF(('School DATA'!D27&gt;0),'School DATA'!D27,""))&amp;"    "&amp;(IF(('School DATA'!D31&gt;0),'School DATA'!D31,""))</f>
        <v xml:space="preserve">DAG    </v>
      </c>
      <c r="B45" s="88"/>
      <c r="C45" s="88"/>
      <c r="D45" s="88"/>
      <c r="E45" s="88"/>
      <c r="F45" s="88"/>
      <c r="G45" s="88"/>
    </row>
    <row r="46" spans="1:7" s="89" customFormat="1" ht="15" x14ac:dyDescent="0.2">
      <c r="A46" s="88" t="str">
        <f>(IF(('School DATA'!D28&gt;0),'School DATA'!D28,""))&amp;"    "&amp;(IF(('School DATA'!D32&gt;0),'School DATA'!D32,""))</f>
        <v xml:space="preserve">    </v>
      </c>
      <c r="B46" s="88"/>
      <c r="C46" s="88"/>
      <c r="D46" s="88"/>
      <c r="E46" s="88"/>
      <c r="F46" s="88"/>
      <c r="G46" s="88"/>
    </row>
    <row r="47" spans="1:7" s="89" customFormat="1" ht="15" x14ac:dyDescent="0.2">
      <c r="A47" s="88" t="str">
        <f>(IF(('School DATA'!D29&gt;0),'School DATA'!D29,""))&amp;"    "&amp;(IF(('School DATA'!D33&gt;0),'School DATA'!D33,""))</f>
        <v xml:space="preserve">    </v>
      </c>
      <c r="B47" s="88"/>
      <c r="C47" s="88"/>
      <c r="D47" s="88"/>
      <c r="E47" s="88"/>
      <c r="F47" s="88"/>
      <c r="G47" s="88"/>
    </row>
    <row r="48" spans="1:7" s="89" customFormat="1" ht="15" x14ac:dyDescent="0.2">
      <c r="C48" s="88"/>
      <c r="D48" s="88"/>
      <c r="E48" s="88"/>
      <c r="F48" s="88"/>
      <c r="G48" s="88"/>
    </row>
    <row r="49" spans="1:7" s="89" customFormat="1" ht="15" x14ac:dyDescent="0.2">
      <c r="A49" s="88" t="s">
        <v>115</v>
      </c>
      <c r="B49" s="88"/>
      <c r="C49" s="88"/>
      <c r="D49" s="88"/>
      <c r="E49" s="88"/>
      <c r="F49" s="88"/>
      <c r="G49" s="88"/>
    </row>
    <row r="50" spans="1:7" s="89" customFormat="1" ht="15" x14ac:dyDescent="0.2">
      <c r="B50" s="88"/>
      <c r="C50" s="88"/>
      <c r="D50" s="88"/>
      <c r="E50" s="88"/>
      <c r="F50" s="88"/>
      <c r="G50" s="88"/>
    </row>
    <row r="51" spans="1:7" s="89" customFormat="1" ht="15" x14ac:dyDescent="0.2">
      <c r="B51" s="88"/>
      <c r="C51" s="88"/>
      <c r="D51" s="88"/>
      <c r="E51" s="88"/>
      <c r="F51" s="88"/>
      <c r="G51" s="88"/>
    </row>
    <row r="52" spans="1:7" ht="15" x14ac:dyDescent="0.2">
      <c r="A52" s="89" t="s">
        <v>123</v>
      </c>
      <c r="B52" s="99">
        <f ca="1">TODAY()</f>
        <v>44713</v>
      </c>
      <c r="C52" s="79"/>
      <c r="D52" s="79"/>
      <c r="E52" s="79"/>
      <c r="F52" s="79"/>
      <c r="G52" s="79"/>
    </row>
    <row r="53" spans="1:7" ht="15" x14ac:dyDescent="0.2">
      <c r="A53" s="88"/>
      <c r="B53" s="79"/>
      <c r="C53" s="79"/>
      <c r="D53" s="79"/>
      <c r="E53" s="79"/>
      <c r="F53" s="79"/>
      <c r="G53" s="79"/>
    </row>
    <row r="54" spans="1:7" ht="15" x14ac:dyDescent="0.2">
      <c r="A54" s="88"/>
      <c r="B54" s="79"/>
      <c r="C54" s="79"/>
      <c r="D54" s="79"/>
      <c r="E54" s="79"/>
      <c r="F54" s="79"/>
      <c r="G54" s="79"/>
    </row>
    <row r="55" spans="1:7" ht="15" x14ac:dyDescent="0.2">
      <c r="A55" s="88"/>
      <c r="B55" s="79"/>
      <c r="C55" s="79"/>
      <c r="D55" s="79"/>
      <c r="E55" s="79"/>
      <c r="F55" s="79"/>
      <c r="G55" s="79"/>
    </row>
    <row r="56" spans="1:7" ht="15" x14ac:dyDescent="0.2">
      <c r="A56" s="88"/>
      <c r="B56" s="79"/>
      <c r="C56" s="79"/>
      <c r="D56" s="79"/>
      <c r="E56" s="79"/>
      <c r="F56" s="79"/>
      <c r="G56" s="79"/>
    </row>
    <row r="57" spans="1:7" ht="15" x14ac:dyDescent="0.2">
      <c r="A57" s="88"/>
      <c r="B57" s="79"/>
      <c r="C57" s="79"/>
      <c r="D57" s="79"/>
      <c r="E57" s="79"/>
      <c r="F57" s="79"/>
      <c r="G57" s="79"/>
    </row>
    <row r="58" spans="1:7" x14ac:dyDescent="0.2">
      <c r="A58" s="79"/>
      <c r="B58" s="79"/>
      <c r="C58" s="79"/>
      <c r="D58" s="79"/>
      <c r="E58" s="79"/>
      <c r="F58" s="79"/>
      <c r="G58" s="79"/>
    </row>
  </sheetData>
  <sheetProtection password="C4C2" sheet="1" objects="1" scenarios="1" selectLockedCells="1"/>
  <phoneticPr fontId="5" type="noConversion"/>
  <pageMargins left="0.94488188976377963" right="0.74803149606299213" top="2.5590551181102366" bottom="0.98425196850393704"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63"/>
  <sheetViews>
    <sheetView topLeftCell="M1" zoomScale="85" zoomScaleNormal="85" workbookViewId="0">
      <selection activeCell="R48" sqref="R48"/>
    </sheetView>
  </sheetViews>
  <sheetFormatPr defaultColWidth="9.140625" defaultRowHeight="12.75" x14ac:dyDescent="0.2"/>
  <cols>
    <col min="1" max="1" width="0" style="36" hidden="1" customWidth="1"/>
    <col min="2" max="2" width="32.140625" style="37" hidden="1" customWidth="1"/>
    <col min="3" max="3" width="38.140625" style="37" hidden="1" customWidth="1"/>
    <col min="4" max="4" width="16.28515625" style="37" hidden="1" customWidth="1"/>
    <col min="5" max="5" width="14" style="37" hidden="1" customWidth="1"/>
    <col min="6" max="6" width="5.140625" style="24" hidden="1" customWidth="1"/>
    <col min="7" max="7" width="78.85546875" style="37" hidden="1" customWidth="1"/>
    <col min="8" max="8" width="15.5703125" style="37" hidden="1" customWidth="1"/>
    <col min="9" max="9" width="19.5703125" style="37" hidden="1" customWidth="1"/>
    <col min="10" max="10" width="14.28515625" style="37" hidden="1" customWidth="1"/>
    <col min="11" max="12" width="0" style="37" hidden="1" customWidth="1"/>
    <col min="13" max="16384" width="9.140625" style="37"/>
  </cols>
  <sheetData>
    <row r="1" spans="1:11" s="30" customFormat="1" ht="20.25" x14ac:dyDescent="0.3">
      <c r="A1" s="23"/>
      <c r="B1" s="28" t="s">
        <v>255</v>
      </c>
      <c r="C1" s="28"/>
      <c r="D1" s="28" t="s">
        <v>307</v>
      </c>
      <c r="E1" s="28"/>
      <c r="F1" s="29"/>
      <c r="G1" s="28"/>
      <c r="H1" s="28"/>
      <c r="I1" s="28"/>
      <c r="J1" s="28"/>
    </row>
    <row r="2" spans="1:11" s="15" customFormat="1" ht="15.75" x14ac:dyDescent="0.25">
      <c r="A2" s="31"/>
      <c r="D2" s="32" t="s">
        <v>264</v>
      </c>
      <c r="E2" s="32"/>
      <c r="F2" s="33"/>
      <c r="G2" s="32"/>
      <c r="H2" s="32"/>
      <c r="I2" s="32"/>
      <c r="J2" s="32"/>
    </row>
    <row r="3" spans="1:11" s="27" customFormat="1" ht="15.75" x14ac:dyDescent="0.25">
      <c r="A3" s="34"/>
      <c r="D3" s="27" t="s">
        <v>223</v>
      </c>
      <c r="F3" s="34"/>
      <c r="G3" s="35"/>
      <c r="H3" s="27" t="s">
        <v>224</v>
      </c>
    </row>
    <row r="4" spans="1:11" s="27" customFormat="1" ht="15.75" x14ac:dyDescent="0.25">
      <c r="A4" s="34"/>
      <c r="F4" s="34"/>
    </row>
    <row r="5" spans="1:11" x14ac:dyDescent="0.2">
      <c r="D5" s="38" t="s">
        <v>267</v>
      </c>
      <c r="E5" s="39"/>
      <c r="H5" s="38" t="s">
        <v>392</v>
      </c>
      <c r="I5" s="39"/>
      <c r="J5" s="38"/>
      <c r="K5" s="40"/>
    </row>
    <row r="6" spans="1:11" s="26" customFormat="1" x14ac:dyDescent="0.2">
      <c r="A6" s="36">
        <v>1</v>
      </c>
      <c r="B6" s="26" t="s">
        <v>189</v>
      </c>
      <c r="C6" s="41" t="s">
        <v>211</v>
      </c>
      <c r="D6" s="42" t="s">
        <v>385</v>
      </c>
      <c r="F6" s="36">
        <v>6</v>
      </c>
      <c r="G6" s="26" t="s">
        <v>210</v>
      </c>
      <c r="H6" s="37"/>
    </row>
    <row r="7" spans="1:11" x14ac:dyDescent="0.2">
      <c r="C7" s="41" t="s">
        <v>190</v>
      </c>
      <c r="D7" s="43">
        <v>44823</v>
      </c>
      <c r="E7" s="44">
        <f>D7+364</f>
        <v>45187</v>
      </c>
      <c r="G7" s="37" t="s">
        <v>407</v>
      </c>
      <c r="H7" s="45">
        <v>26565</v>
      </c>
      <c r="I7" s="46"/>
      <c r="J7" s="47">
        <f>H7</f>
        <v>26565</v>
      </c>
    </row>
    <row r="8" spans="1:11" x14ac:dyDescent="0.2">
      <c r="C8" s="41" t="s">
        <v>247</v>
      </c>
      <c r="D8" s="43">
        <v>44693</v>
      </c>
      <c r="H8" s="48"/>
      <c r="I8" s="46"/>
      <c r="J8" s="46"/>
    </row>
    <row r="9" spans="1:11" s="26" customFormat="1" x14ac:dyDescent="0.2">
      <c r="A9" s="36"/>
      <c r="B9" s="26" t="s">
        <v>192</v>
      </c>
      <c r="D9" s="49"/>
      <c r="F9" s="36">
        <v>7</v>
      </c>
      <c r="G9" s="26" t="s">
        <v>212</v>
      </c>
      <c r="H9" s="38" t="s">
        <v>269</v>
      </c>
      <c r="I9" s="39"/>
      <c r="J9" s="38"/>
    </row>
    <row r="10" spans="1:11" s="26" customFormat="1" x14ac:dyDescent="0.2">
      <c r="A10" s="36"/>
      <c r="B10" s="37" t="s">
        <v>191</v>
      </c>
      <c r="D10" s="43">
        <v>44823</v>
      </c>
      <c r="E10" s="50" t="s">
        <v>220</v>
      </c>
      <c r="F10" s="36"/>
      <c r="G10" s="37" t="s">
        <v>213</v>
      </c>
      <c r="H10" s="51">
        <v>227</v>
      </c>
      <c r="I10" s="52"/>
      <c r="J10" s="53"/>
    </row>
    <row r="11" spans="1:11" s="26" customFormat="1" x14ac:dyDescent="0.2">
      <c r="A11" s="36"/>
      <c r="B11" s="37" t="s">
        <v>381</v>
      </c>
      <c r="D11" s="43">
        <v>45121</v>
      </c>
      <c r="E11" s="54">
        <f>ROUND(((MAX(D11:D12)-D10)/7),0)</f>
        <v>43</v>
      </c>
      <c r="F11" s="36"/>
      <c r="G11" s="37" t="s">
        <v>218</v>
      </c>
      <c r="H11" s="51">
        <v>350</v>
      </c>
      <c r="I11" s="47">
        <f>MAX(H10:H11)</f>
        <v>350</v>
      </c>
      <c r="J11" s="55" t="s">
        <v>323</v>
      </c>
    </row>
    <row r="12" spans="1:11" s="26" customFormat="1" x14ac:dyDescent="0.2">
      <c r="A12" s="36"/>
      <c r="B12" s="56" t="s">
        <v>225</v>
      </c>
      <c r="C12" s="37" t="s">
        <v>226</v>
      </c>
      <c r="D12" s="43">
        <v>45121</v>
      </c>
      <c r="E12" s="50" t="s">
        <v>238</v>
      </c>
      <c r="F12" s="36"/>
      <c r="G12" s="127" t="s">
        <v>253</v>
      </c>
      <c r="H12" s="51">
        <v>40</v>
      </c>
      <c r="I12" s="53"/>
      <c r="J12" s="53"/>
    </row>
    <row r="13" spans="1:11" s="41" customFormat="1" x14ac:dyDescent="0.2">
      <c r="A13" s="36"/>
      <c r="D13" s="57"/>
      <c r="E13" s="50">
        <v>52</v>
      </c>
      <c r="F13" s="36"/>
      <c r="G13" s="37" t="s">
        <v>237</v>
      </c>
      <c r="H13" s="51">
        <v>100</v>
      </c>
      <c r="I13" s="58">
        <f>SUM(H12:H13)</f>
        <v>140</v>
      </c>
      <c r="J13" s="55" t="s">
        <v>324</v>
      </c>
    </row>
    <row r="14" spans="1:11" x14ac:dyDescent="0.2">
      <c r="A14" s="36">
        <v>2</v>
      </c>
      <c r="B14" s="26" t="s">
        <v>193</v>
      </c>
      <c r="C14" s="41"/>
      <c r="D14" s="49"/>
      <c r="G14" s="37" t="s">
        <v>216</v>
      </c>
      <c r="H14" s="51">
        <v>15</v>
      </c>
      <c r="I14" s="46"/>
      <c r="J14" s="46"/>
    </row>
    <row r="15" spans="1:11" x14ac:dyDescent="0.2">
      <c r="B15" s="26" t="s">
        <v>219</v>
      </c>
      <c r="D15" s="49"/>
      <c r="G15" s="37" t="s">
        <v>217</v>
      </c>
      <c r="H15" s="51">
        <v>39</v>
      </c>
      <c r="I15" s="46"/>
      <c r="J15" s="46"/>
    </row>
    <row r="16" spans="1:11" x14ac:dyDescent="0.2">
      <c r="B16" s="41" t="s">
        <v>194</v>
      </c>
      <c r="D16" s="49"/>
      <c r="G16" s="357" t="s">
        <v>409</v>
      </c>
      <c r="H16" s="51">
        <v>60</v>
      </c>
      <c r="I16" s="47">
        <f>SUM(H12:H16)</f>
        <v>254</v>
      </c>
      <c r="J16" s="47">
        <f>(SUM(I11:I16))*E13</f>
        <v>38688</v>
      </c>
    </row>
    <row r="17" spans="1:11" x14ac:dyDescent="0.2">
      <c r="B17" s="41" t="s">
        <v>254</v>
      </c>
      <c r="D17" s="38" t="s">
        <v>279</v>
      </c>
      <c r="E17" s="39"/>
      <c r="H17" s="49"/>
      <c r="I17" s="46"/>
      <c r="J17" s="46"/>
    </row>
    <row r="18" spans="1:11" x14ac:dyDescent="0.2">
      <c r="B18" s="37" t="s">
        <v>195</v>
      </c>
      <c r="D18" s="43">
        <v>44825</v>
      </c>
      <c r="E18" s="44">
        <f>D19-1</f>
        <v>44934</v>
      </c>
      <c r="F18" s="24">
        <v>8</v>
      </c>
      <c r="G18" s="26" t="s">
        <v>222</v>
      </c>
      <c r="H18" s="49"/>
      <c r="I18" s="46"/>
      <c r="J18" s="46"/>
    </row>
    <row r="19" spans="1:11" x14ac:dyDescent="0.2">
      <c r="B19" s="37" t="s">
        <v>197</v>
      </c>
      <c r="D19" s="43">
        <v>44935</v>
      </c>
      <c r="E19" s="44">
        <f>IF((D20&gt;0),(D20-1),(MAX(D10:D11)))</f>
        <v>45039</v>
      </c>
      <c r="G19" s="37" t="s">
        <v>298</v>
      </c>
      <c r="H19" s="51">
        <v>1000</v>
      </c>
      <c r="I19" s="47">
        <f>H19*2</f>
        <v>2000</v>
      </c>
      <c r="J19" s="59" t="s">
        <v>325</v>
      </c>
    </row>
    <row r="20" spans="1:11" x14ac:dyDescent="0.2">
      <c r="B20" s="37" t="s">
        <v>196</v>
      </c>
      <c r="D20" s="43">
        <v>45040</v>
      </c>
      <c r="E20" s="44">
        <f>IF((D21&gt;0),(D21-1),(MAX(D11:D12)))</f>
        <v>45121</v>
      </c>
      <c r="G20" s="37" t="s">
        <v>297</v>
      </c>
      <c r="H20" s="51">
        <v>593</v>
      </c>
      <c r="I20" s="60"/>
      <c r="J20" s="61"/>
    </row>
    <row r="21" spans="1:11" x14ac:dyDescent="0.2">
      <c r="B21" s="37" t="s">
        <v>198</v>
      </c>
      <c r="D21" s="43"/>
      <c r="E21" s="44">
        <f>IF((D22&gt;0),(D22-1),(MAX(D11:D12)))</f>
        <v>45121</v>
      </c>
      <c r="G21" s="37" t="s">
        <v>408</v>
      </c>
      <c r="H21" s="51">
        <v>650</v>
      </c>
      <c r="I21" s="60"/>
      <c r="J21" s="61"/>
    </row>
    <row r="22" spans="1:11" x14ac:dyDescent="0.2">
      <c r="E22" s="44">
        <f>E18</f>
        <v>44934</v>
      </c>
      <c r="F22" s="62" t="s">
        <v>256</v>
      </c>
      <c r="G22" s="22" t="s">
        <v>410</v>
      </c>
      <c r="H22" s="51">
        <v>833</v>
      </c>
      <c r="I22" s="47">
        <f>SUM(H20:H22)</f>
        <v>2076</v>
      </c>
      <c r="J22" s="61" t="s">
        <v>326</v>
      </c>
    </row>
    <row r="23" spans="1:11" x14ac:dyDescent="0.2">
      <c r="A23" s="36">
        <v>3</v>
      </c>
      <c r="B23" s="26" t="s">
        <v>233</v>
      </c>
      <c r="D23" s="49"/>
      <c r="E23" s="44">
        <f>IF((D20&gt;1),(D20-1),E7)</f>
        <v>45039</v>
      </c>
      <c r="F23" s="62" t="s">
        <v>257</v>
      </c>
      <c r="G23" s="18" t="s">
        <v>327</v>
      </c>
      <c r="H23" s="51">
        <v>0</v>
      </c>
      <c r="I23" s="60"/>
      <c r="J23" s="61"/>
    </row>
    <row r="24" spans="1:11" x14ac:dyDescent="0.2">
      <c r="C24" s="41" t="s">
        <v>214</v>
      </c>
      <c r="D24" s="49"/>
      <c r="E24" s="44">
        <f>IF((D21&gt;1),(D21-1),E7)</f>
        <v>45187</v>
      </c>
      <c r="F24" s="62" t="s">
        <v>258</v>
      </c>
      <c r="G24" s="18" t="s">
        <v>328</v>
      </c>
      <c r="H24" s="51">
        <v>0</v>
      </c>
      <c r="I24" s="60"/>
      <c r="J24" s="61"/>
    </row>
    <row r="25" spans="1:11" x14ac:dyDescent="0.2">
      <c r="C25" s="41" t="s">
        <v>215</v>
      </c>
      <c r="D25" s="49"/>
      <c r="E25" s="44">
        <f>IF((D22&gt;1),(D22-1),E7)</f>
        <v>45187</v>
      </c>
      <c r="F25" s="62" t="s">
        <v>259</v>
      </c>
      <c r="G25" s="18" t="s">
        <v>329</v>
      </c>
      <c r="H25" s="51">
        <v>12000</v>
      </c>
      <c r="I25" s="47">
        <f>SUM(H23:H25)</f>
        <v>12000</v>
      </c>
      <c r="J25" s="59" t="s">
        <v>330</v>
      </c>
    </row>
    <row r="26" spans="1:11" x14ac:dyDescent="0.2">
      <c r="C26" s="63" t="s">
        <v>201</v>
      </c>
      <c r="D26" s="64" t="s">
        <v>383</v>
      </c>
    </row>
    <row r="27" spans="1:11" x14ac:dyDescent="0.2">
      <c r="C27" s="63" t="s">
        <v>202</v>
      </c>
      <c r="D27" s="64" t="s">
        <v>384</v>
      </c>
    </row>
    <row r="28" spans="1:11" x14ac:dyDescent="0.2">
      <c r="C28" s="63" t="s">
        <v>203</v>
      </c>
      <c r="D28" s="64"/>
      <c r="F28" s="24">
        <v>9</v>
      </c>
      <c r="G28" s="26" t="s">
        <v>270</v>
      </c>
      <c r="H28" s="26"/>
      <c r="I28" s="38" t="s">
        <v>268</v>
      </c>
      <c r="J28" s="39"/>
      <c r="K28" s="40"/>
    </row>
    <row r="29" spans="1:11" x14ac:dyDescent="0.2">
      <c r="C29" s="63" t="s">
        <v>204</v>
      </c>
      <c r="D29" s="64"/>
      <c r="G29" s="41" t="s">
        <v>199</v>
      </c>
      <c r="H29" s="41" t="s">
        <v>200</v>
      </c>
      <c r="I29" s="65">
        <v>44701</v>
      </c>
      <c r="J29" s="37" t="s">
        <v>393</v>
      </c>
    </row>
    <row r="30" spans="1:11" x14ac:dyDescent="0.2">
      <c r="C30" s="63" t="s">
        <v>205</v>
      </c>
      <c r="D30" s="64"/>
      <c r="G30" s="41" t="s">
        <v>236</v>
      </c>
      <c r="H30" s="41" t="s">
        <v>200</v>
      </c>
      <c r="I30" s="65">
        <v>44866</v>
      </c>
    </row>
    <row r="31" spans="1:11" x14ac:dyDescent="0.2">
      <c r="C31" s="63" t="s">
        <v>206</v>
      </c>
      <c r="D31" s="64"/>
      <c r="G31" s="41" t="s">
        <v>209</v>
      </c>
      <c r="H31" s="26" t="s">
        <v>174</v>
      </c>
      <c r="I31" s="36" t="s">
        <v>34</v>
      </c>
      <c r="J31" s="36" t="s">
        <v>173</v>
      </c>
    </row>
    <row r="32" spans="1:11" x14ac:dyDescent="0.2">
      <c r="C32" s="63" t="s">
        <v>207</v>
      </c>
      <c r="D32" s="64"/>
      <c r="G32" s="41" t="s">
        <v>265</v>
      </c>
      <c r="H32" s="37" t="s">
        <v>172</v>
      </c>
      <c r="I32" s="66">
        <v>1.32</v>
      </c>
      <c r="J32" s="66">
        <v>0</v>
      </c>
    </row>
    <row r="33" spans="1:11" x14ac:dyDescent="0.2">
      <c r="C33" s="63" t="s">
        <v>208</v>
      </c>
      <c r="D33" s="64"/>
      <c r="H33" s="37" t="s">
        <v>175</v>
      </c>
      <c r="I33" s="66">
        <v>1.4</v>
      </c>
      <c r="J33" s="66">
        <v>0</v>
      </c>
    </row>
    <row r="34" spans="1:11" x14ac:dyDescent="0.2">
      <c r="H34" s="37" t="s">
        <v>176</v>
      </c>
      <c r="I34" s="66">
        <v>1.4</v>
      </c>
      <c r="J34" s="66">
        <v>0</v>
      </c>
    </row>
    <row r="35" spans="1:11" x14ac:dyDescent="0.2">
      <c r="A35" s="100">
        <v>4</v>
      </c>
      <c r="B35" s="26" t="s">
        <v>386</v>
      </c>
      <c r="H35" s="37" t="s">
        <v>177</v>
      </c>
      <c r="I35" s="66">
        <v>1.4</v>
      </c>
      <c r="J35" s="66">
        <v>0</v>
      </c>
      <c r="K35" s="26"/>
    </row>
    <row r="36" spans="1:11" x14ac:dyDescent="0.2">
      <c r="B36" s="41" t="s">
        <v>389</v>
      </c>
      <c r="D36" s="38" t="s">
        <v>277</v>
      </c>
      <c r="E36" s="38"/>
      <c r="F36" s="67"/>
      <c r="H36" s="37" t="s">
        <v>178</v>
      </c>
      <c r="I36" s="66">
        <v>1.2</v>
      </c>
      <c r="J36" s="66">
        <v>0</v>
      </c>
      <c r="K36" s="41"/>
    </row>
    <row r="37" spans="1:11" x14ac:dyDescent="0.2">
      <c r="B37" s="41" t="s">
        <v>425</v>
      </c>
      <c r="C37" s="41" t="s">
        <v>76</v>
      </c>
      <c r="D37" s="68" t="s">
        <v>187</v>
      </c>
      <c r="E37" s="68" t="s">
        <v>188</v>
      </c>
      <c r="H37" s="37" t="s">
        <v>179</v>
      </c>
      <c r="I37" s="66">
        <v>1.22</v>
      </c>
      <c r="J37" s="66">
        <v>0</v>
      </c>
    </row>
    <row r="38" spans="1:11" s="26" customFormat="1" x14ac:dyDescent="0.2">
      <c r="A38" s="36"/>
      <c r="B38" s="41"/>
      <c r="C38" s="37" t="s">
        <v>184</v>
      </c>
      <c r="D38" s="64">
        <v>1.0569999999999999</v>
      </c>
      <c r="E38" s="64">
        <v>0</v>
      </c>
      <c r="F38" s="36"/>
      <c r="G38" s="37"/>
      <c r="H38" s="37" t="s">
        <v>180</v>
      </c>
      <c r="I38" s="66">
        <v>1.19</v>
      </c>
      <c r="J38" s="66">
        <v>0</v>
      </c>
      <c r="K38" s="37"/>
    </row>
    <row r="39" spans="1:11" s="41" customFormat="1" x14ac:dyDescent="0.2">
      <c r="A39" s="36"/>
      <c r="B39" s="37"/>
      <c r="C39" s="37" t="s">
        <v>185</v>
      </c>
      <c r="D39" s="64">
        <v>1.0569999999999999</v>
      </c>
      <c r="E39" s="64">
        <v>0</v>
      </c>
      <c r="F39" s="36"/>
      <c r="G39" s="37"/>
      <c r="H39" s="37" t="s">
        <v>181</v>
      </c>
      <c r="I39" s="66"/>
      <c r="J39" s="66"/>
      <c r="K39" s="37"/>
    </row>
    <row r="40" spans="1:11" x14ac:dyDescent="0.2">
      <c r="C40" s="37" t="s">
        <v>186</v>
      </c>
      <c r="D40" s="64">
        <v>4.2279999999999998</v>
      </c>
      <c r="E40" s="64">
        <v>0</v>
      </c>
      <c r="G40" s="14"/>
      <c r="H40" s="37" t="s">
        <v>182</v>
      </c>
      <c r="I40" s="66"/>
      <c r="J40" s="66"/>
    </row>
    <row r="41" spans="1:11" x14ac:dyDescent="0.2">
      <c r="C41" s="50" t="s">
        <v>232</v>
      </c>
      <c r="D41" s="69">
        <f>MAX(D38:D40)</f>
        <v>4.2279999999999998</v>
      </c>
      <c r="E41" s="56"/>
      <c r="G41" s="14"/>
      <c r="H41" s="37" t="s">
        <v>183</v>
      </c>
      <c r="I41" s="66"/>
      <c r="J41" s="66"/>
    </row>
    <row r="42" spans="1:11" x14ac:dyDescent="0.2">
      <c r="G42" s="14"/>
      <c r="H42" s="50" t="s">
        <v>221</v>
      </c>
      <c r="I42" s="69">
        <f>MAX(I32:I41)</f>
        <v>1.4</v>
      </c>
      <c r="J42" s="69">
        <f>MAX(J32:J41)</f>
        <v>0</v>
      </c>
    </row>
    <row r="43" spans="1:11" ht="13.5" thickBot="1" x14ac:dyDescent="0.25">
      <c r="A43" s="36">
        <v>5</v>
      </c>
      <c r="B43" s="26" t="s">
        <v>387</v>
      </c>
      <c r="G43" s="14"/>
      <c r="H43" s="70"/>
      <c r="I43" s="70"/>
      <c r="J43" s="70"/>
    </row>
    <row r="44" spans="1:11" ht="13.5" thickBot="1" x14ac:dyDescent="0.25">
      <c r="B44" s="41" t="s">
        <v>388</v>
      </c>
      <c r="G44" s="50" t="s">
        <v>231</v>
      </c>
      <c r="H44" s="50">
        <f>IF((I44&gt;0),I44,(ROUND((I42+(I42*(J42/100))),2)))</f>
        <v>1.4</v>
      </c>
      <c r="I44" s="71"/>
    </row>
    <row r="45" spans="1:11" x14ac:dyDescent="0.2">
      <c r="B45" s="41"/>
      <c r="D45" s="38" t="s">
        <v>278</v>
      </c>
      <c r="E45" s="38"/>
      <c r="F45" s="67"/>
      <c r="I45" s="41"/>
      <c r="J45" s="41"/>
    </row>
    <row r="46" spans="1:11" ht="25.5" x14ac:dyDescent="0.2">
      <c r="B46" s="72" t="s">
        <v>79</v>
      </c>
      <c r="C46" s="72" t="s">
        <v>68</v>
      </c>
      <c r="D46" s="72" t="s">
        <v>243</v>
      </c>
      <c r="E46" s="72" t="s">
        <v>244</v>
      </c>
      <c r="G46" s="50" t="s">
        <v>304</v>
      </c>
      <c r="H46" s="73">
        <f>ROUND(((SUM(J7:J25))*H44),0)</f>
        <v>91354</v>
      </c>
    </row>
    <row r="47" spans="1:11" x14ac:dyDescent="0.2">
      <c r="B47" s="56" t="s">
        <v>239</v>
      </c>
      <c r="C47" s="74">
        <v>3500</v>
      </c>
      <c r="D47" s="74">
        <v>2000</v>
      </c>
      <c r="E47" s="74">
        <v>6000</v>
      </c>
      <c r="G47" s="50" t="s">
        <v>245</v>
      </c>
      <c r="H47" s="75">
        <f>ROUND((H46*0.1),0)</f>
        <v>9135</v>
      </c>
    </row>
    <row r="48" spans="1:11" x14ac:dyDescent="0.2">
      <c r="B48" s="56" t="s">
        <v>240</v>
      </c>
      <c r="C48" s="74">
        <v>4500</v>
      </c>
      <c r="D48" s="74">
        <v>2000</v>
      </c>
      <c r="E48" s="74">
        <v>6000</v>
      </c>
      <c r="G48" s="50"/>
      <c r="H48" s="73">
        <f>SUM(H46:H47)</f>
        <v>100489</v>
      </c>
    </row>
    <row r="49" spans="1:8" x14ac:dyDescent="0.2">
      <c r="B49" s="56" t="s">
        <v>241</v>
      </c>
      <c r="C49" s="74">
        <v>5500</v>
      </c>
      <c r="D49" s="74">
        <v>2000</v>
      </c>
      <c r="E49" s="74">
        <v>7000</v>
      </c>
      <c r="G49" s="50" t="s">
        <v>246</v>
      </c>
      <c r="H49" s="50">
        <f>H48/100*D41</f>
        <v>4248.6749199999995</v>
      </c>
    </row>
    <row r="50" spans="1:8" ht="13.5" thickBot="1" x14ac:dyDescent="0.25">
      <c r="B50" s="56" t="s">
        <v>242</v>
      </c>
      <c r="C50" s="74">
        <v>5500</v>
      </c>
      <c r="D50" s="74">
        <v>2000</v>
      </c>
      <c r="E50" s="74">
        <v>7000</v>
      </c>
      <c r="G50" s="50" t="s">
        <v>250</v>
      </c>
      <c r="H50" s="76">
        <f>SUM(H48:H49)</f>
        <v>104737.67492</v>
      </c>
    </row>
    <row r="51" spans="1:8" ht="13.5" thickTop="1" x14ac:dyDescent="0.2">
      <c r="B51" s="56" t="s">
        <v>82</v>
      </c>
      <c r="C51" s="74">
        <v>0</v>
      </c>
      <c r="D51" s="74">
        <v>0</v>
      </c>
      <c r="E51" s="74">
        <v>20500</v>
      </c>
    </row>
    <row r="52" spans="1:8" x14ac:dyDescent="0.2">
      <c r="E52" s="77"/>
    </row>
    <row r="54" spans="1:8" s="26" customFormat="1" x14ac:dyDescent="0.2">
      <c r="A54" s="36">
        <v>10</v>
      </c>
      <c r="B54" s="26" t="s">
        <v>286</v>
      </c>
      <c r="F54" s="36"/>
    </row>
    <row r="55" spans="1:8" x14ac:dyDescent="0.2">
      <c r="C55" s="37" t="s">
        <v>80</v>
      </c>
      <c r="D55" s="37" t="s">
        <v>81</v>
      </c>
      <c r="E55" s="37" t="s">
        <v>287</v>
      </c>
    </row>
    <row r="56" spans="1:8" x14ac:dyDescent="0.2">
      <c r="B56" s="37" t="s">
        <v>288</v>
      </c>
      <c r="C56" s="78" t="e">
        <f>#REF!</f>
        <v>#REF!</v>
      </c>
      <c r="D56" s="78">
        <f>E7</f>
        <v>45187</v>
      </c>
      <c r="E56" s="37" t="e">
        <f>ROUND(((D56-C56)/7),0)</f>
        <v>#REF!</v>
      </c>
    </row>
    <row r="57" spans="1:8" x14ac:dyDescent="0.2">
      <c r="B57" s="37" t="s">
        <v>289</v>
      </c>
      <c r="C57" s="78" t="e">
        <f>C56</f>
        <v>#REF!</v>
      </c>
      <c r="D57" s="78">
        <f>D11</f>
        <v>45121</v>
      </c>
      <c r="E57" s="37" t="e">
        <f>ROUND(((D57-C57)/7),0)</f>
        <v>#REF!</v>
      </c>
    </row>
    <row r="59" spans="1:8" x14ac:dyDescent="0.2">
      <c r="A59" s="36">
        <v>11</v>
      </c>
      <c r="B59" s="37" t="s">
        <v>340</v>
      </c>
      <c r="C59" s="37" t="s">
        <v>341</v>
      </c>
      <c r="D59" s="37" t="s">
        <v>342</v>
      </c>
    </row>
    <row r="60" spans="1:8" x14ac:dyDescent="0.2">
      <c r="B60" s="37" t="s">
        <v>343</v>
      </c>
      <c r="C60" s="102">
        <v>31000</v>
      </c>
      <c r="D60" s="102">
        <v>23000</v>
      </c>
    </row>
    <row r="61" spans="1:8" x14ac:dyDescent="0.2">
      <c r="B61" s="37" t="s">
        <v>344</v>
      </c>
      <c r="C61" s="102">
        <v>57500</v>
      </c>
      <c r="D61" s="102">
        <v>2300</v>
      </c>
    </row>
    <row r="62" spans="1:8" x14ac:dyDescent="0.2">
      <c r="B62" s="37" t="s">
        <v>390</v>
      </c>
      <c r="C62" s="102">
        <v>138500</v>
      </c>
      <c r="D62" s="102">
        <v>65500</v>
      </c>
    </row>
    <row r="63" spans="1:8" x14ac:dyDescent="0.2">
      <c r="B63" s="101" t="s">
        <v>391</v>
      </c>
    </row>
  </sheetData>
  <sheetProtection password="C4C2" sheet="1" objects="1" scenarios="1" selectLockedCells="1"/>
  <phoneticPr fontId="5" type="noConversion"/>
  <pageMargins left="0.75" right="0.75" top="1" bottom="1" header="0.5" footer="0.5"/>
  <pageSetup paperSize="9" scale="53"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Checklist</vt:lpstr>
      <vt:lpstr>Cost of Attendance</vt:lpstr>
      <vt:lpstr>Basis of Costs</vt:lpstr>
      <vt:lpstr>Visa Letter</vt:lpstr>
      <vt:lpstr>Private Loan Letter</vt:lpstr>
      <vt:lpstr>School DATA</vt:lpstr>
      <vt:lpstr>'Cost of Attendance'!Print_Area</vt:lpstr>
      <vt:lpstr>'Visa Letter'!Print_Area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Attendance 2020</dc:title>
  <dc:subject/>
  <dc:creator>Guildhall School of Music and Drama</dc:creator>
  <dc:description/>
  <cp:lastModifiedBy>Amanda Acolatse</cp:lastModifiedBy>
  <cp:lastPrinted>2020-05-12T12:30:04Z</cp:lastPrinted>
  <dcterms:created xsi:type="dcterms:W3CDTF">2009-04-02T10:59:38Z</dcterms:created>
  <dcterms:modified xsi:type="dcterms:W3CDTF">2022-06-01T12:24:02Z</dcterms:modified>
</cp:coreProperties>
</file>